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1570" windowHeight="7920" tabRatio="827" activeTab="0"/>
  </bookViews>
  <sheets>
    <sheet name="PLANILHA" sheetId="1" r:id="rId1"/>
    <sheet name="RESUMO" sheetId="2" r:id="rId2"/>
    <sheet name="CRONOGRAMA" sheetId="3" r:id="rId3"/>
    <sheet name="BDI " sheetId="4" r:id="rId4"/>
  </sheets>
  <externalReferences>
    <externalReference r:id="rId7"/>
  </externalReferences>
  <definedNames>
    <definedName name="_xlnm.Print_Area" localSheetId="3">'BDI '!$A$2:$E$44</definedName>
    <definedName name="_xlnm.Print_Area" localSheetId="2">'CRONOGRAMA'!$A$1:$H$31</definedName>
    <definedName name="_xlnm.Print_Area" localSheetId="0">'PLANILHA'!$A$2:$L$227</definedName>
    <definedName name="_xlnm.Print_Area" localSheetId="1">'RESUMO'!$A$1:$D$22</definedName>
    <definedName name="sigla_obras">'[1]Base dados - TCU 2622_2013'!$A$7:$A$14</definedName>
    <definedName name="sigla_sn">'[1]Base dados - TCU 2622_2013'!$A$2:$A$3</definedName>
    <definedName name="_xlnm.Print_Titles" localSheetId="2">'CRONOGRAMA'!$1:$14</definedName>
    <definedName name="_xlnm.Print_Titles" localSheetId="0">'PLANILHA'!$2:$8</definedName>
    <definedName name="_xlnm.Print_Titles" localSheetId="1">'RESUMO'!$8:$12</definedName>
  </definedNames>
  <calcPr fullCalcOnLoad="1" fullPrecision="0"/>
</workbook>
</file>

<file path=xl/sharedStrings.xml><?xml version="1.0" encoding="utf-8"?>
<sst xmlns="http://schemas.openxmlformats.org/spreadsheetml/2006/main" count="705" uniqueCount="522">
  <si>
    <t>kg</t>
  </si>
  <si>
    <t>LOUÇAS, METAIS E ACESSÓRIOS</t>
  </si>
  <si>
    <t>INSTALAÇÕES HIDRÁULICAS E SANITÁRIAS</t>
  </si>
  <si>
    <t>Almoxarife</t>
  </si>
  <si>
    <t>RESUMO GERAL</t>
  </si>
  <si>
    <t>ITEM</t>
  </si>
  <si>
    <t>DISCRIMINAÇÃO</t>
  </si>
  <si>
    <t>PREÇO TOTAL</t>
  </si>
  <si>
    <t xml:space="preserve">CUSTO TOTAL </t>
  </si>
  <si>
    <t>05.00.000</t>
  </si>
  <si>
    <t>06.00.000</t>
  </si>
  <si>
    <t>SERVIÇOS COMPLEMENTARES</t>
  </si>
  <si>
    <t>B.D.I.</t>
  </si>
  <si>
    <t>%</t>
  </si>
  <si>
    <t>TOTAL GERAL</t>
  </si>
  <si>
    <t>Vale transporte</t>
  </si>
  <si>
    <t>m3</t>
  </si>
  <si>
    <t>Sub Total</t>
  </si>
  <si>
    <t>REGISTROS VÁLVULAS E ACESSÓRIOS - ÁGUA FRIA</t>
  </si>
  <si>
    <t>TUBULAÇÕES E CONEXÕES - ESGOTO E ÁGUAS PLUVIAIS</t>
  </si>
  <si>
    <t xml:space="preserve"> </t>
  </si>
  <si>
    <t>SERVIÇOS GERAIS</t>
  </si>
  <si>
    <t>oe</t>
  </si>
  <si>
    <t>m2</t>
  </si>
  <si>
    <t>mês</t>
  </si>
  <si>
    <t>Bebedouro</t>
  </si>
  <si>
    <t>un</t>
  </si>
  <si>
    <t>Ferramentas leves</t>
  </si>
  <si>
    <t>Transportes</t>
  </si>
  <si>
    <t>1.00</t>
  </si>
  <si>
    <t>R$</t>
  </si>
  <si>
    <t>2.00</t>
  </si>
  <si>
    <t>5.00</t>
  </si>
  <si>
    <t>6.00</t>
  </si>
  <si>
    <t>PERCENTUAL SIMPLES</t>
  </si>
  <si>
    <t>TOTAL SIMPLES</t>
  </si>
  <si>
    <t>PERCENTUAL ACUMULADO</t>
  </si>
  <si>
    <t>TOTAL ACUMULADO</t>
  </si>
  <si>
    <t>Limpeza da obra</t>
  </si>
  <si>
    <t>Administração da obra</t>
  </si>
  <si>
    <t xml:space="preserve">Mestre de obras </t>
  </si>
  <si>
    <t xml:space="preserve">Encarregado de pedreiro </t>
  </si>
  <si>
    <t xml:space="preserve">Encarregados de Instalações </t>
  </si>
  <si>
    <t>Servente de carga/descarga e limpeza</t>
  </si>
  <si>
    <t>Apontador</t>
  </si>
  <si>
    <t xml:space="preserve">Vigias noturno </t>
  </si>
  <si>
    <t>Materiais de Consumo</t>
  </si>
  <si>
    <t>Refeições</t>
  </si>
  <si>
    <t>Café da manhã</t>
  </si>
  <si>
    <t>TUBULAÇÕES E CONEXÕES - ÁGUA FRIA</t>
  </si>
  <si>
    <t>m</t>
  </si>
  <si>
    <t>CRONOGRAMA FÍSICO-FINANCEIRO</t>
  </si>
  <si>
    <t>PLANILHA ORÇAMENTÁRIA</t>
  </si>
  <si>
    <t>1.1</t>
  </si>
  <si>
    <t>1.1.1</t>
  </si>
  <si>
    <t>2.1</t>
  </si>
  <si>
    <t>2.1.1</t>
  </si>
  <si>
    <t>2.2</t>
  </si>
  <si>
    <t>2.2.1</t>
  </si>
  <si>
    <t>4.1</t>
  </si>
  <si>
    <t>4.1.1</t>
  </si>
  <si>
    <t>4.2</t>
  </si>
  <si>
    <t>4.2.1</t>
  </si>
  <si>
    <t>4.3</t>
  </si>
  <si>
    <t>4.3.1</t>
  </si>
  <si>
    <t>4.4</t>
  </si>
  <si>
    <t>Material de pronto socorro</t>
  </si>
  <si>
    <t>Copias de projetos</t>
  </si>
  <si>
    <t>Material de escritório</t>
  </si>
  <si>
    <t>Consumos de telefone para obra e fiscalização</t>
  </si>
  <si>
    <t xml:space="preserve">Consumo de energia </t>
  </si>
  <si>
    <t>Consumo de  agua</t>
  </si>
  <si>
    <t>Maquinas e Equipamentos de Construção Civil</t>
  </si>
  <si>
    <t>Material de consumo p/ máquinas (discos de policorte, serras, maquita, lixadeira etc.)</t>
  </si>
  <si>
    <t>Equipamentos de proteção individual</t>
  </si>
  <si>
    <t>Equipamentos de proteção coletiva</t>
  </si>
  <si>
    <t>Manutenção de canteiro</t>
  </si>
  <si>
    <t>Manutenção de equipamentos</t>
  </si>
  <si>
    <t>Viradeira de chapa</t>
  </si>
  <si>
    <t>Rosqueadeira Eletrica</t>
  </si>
  <si>
    <t xml:space="preserve">Máquina de solda eletrica </t>
  </si>
  <si>
    <t>Outras despesas e taxas</t>
  </si>
  <si>
    <t>Anotação do contrato e RTs no CREA</t>
  </si>
  <si>
    <t xml:space="preserve">Alvará de construção  </t>
  </si>
  <si>
    <t xml:space="preserve">Seguro contra risco de engenharia </t>
  </si>
  <si>
    <t>Taxa de fiscalização de obra</t>
  </si>
  <si>
    <t>Taxas para retirada de habite-se</t>
  </si>
  <si>
    <t>Taxa de registro de contrato em cartório</t>
  </si>
  <si>
    <t>Caução de garantia do contrato</t>
  </si>
  <si>
    <t xml:space="preserve">Taxa de utilização de area pública </t>
  </si>
  <si>
    <t>CUSTO TOTAL</t>
  </si>
  <si>
    <t>01.00.000</t>
  </si>
  <si>
    <t>SERVIÇOS TECNICOS-PROFISSIONAIS</t>
  </si>
  <si>
    <t>ESTUDOS E PROJETOS</t>
  </si>
  <si>
    <t>02.00.000</t>
  </si>
  <si>
    <t>SERVIÇOS PRELIMINARES</t>
  </si>
  <si>
    <t>Canteiro de obras</t>
  </si>
  <si>
    <t>03.00.000</t>
  </si>
  <si>
    <t>04.00.000</t>
  </si>
  <si>
    <t>ARQUITETURA E ELEMENTOS DE URBANISMO</t>
  </si>
  <si>
    <t>ARQUITETURA</t>
  </si>
  <si>
    <t>5.1.1</t>
  </si>
  <si>
    <t>5.1.2</t>
  </si>
  <si>
    <t>5.1.3</t>
  </si>
  <si>
    <t>5.2</t>
  </si>
  <si>
    <t>5.2.1</t>
  </si>
  <si>
    <t>5.4</t>
  </si>
  <si>
    <t>5.4.1</t>
  </si>
  <si>
    <t>6.1.1</t>
  </si>
  <si>
    <t>4.4.2</t>
  </si>
  <si>
    <t>4.4.3</t>
  </si>
  <si>
    <t>Porteiro</t>
  </si>
  <si>
    <t xml:space="preserve">Recarga de extintores de incêndio </t>
  </si>
  <si>
    <t>Betoneiras (1)</t>
  </si>
  <si>
    <t>Betoneiras móvel (3)</t>
  </si>
  <si>
    <t>Compactador de solo (1)</t>
  </si>
  <si>
    <t>Guinchos e torres (2)</t>
  </si>
  <si>
    <t>Serras manuais (2)</t>
  </si>
  <si>
    <t>Serra circular (1)</t>
  </si>
  <si>
    <t>Vibradores (2)</t>
  </si>
  <si>
    <t>Maquita (2)</t>
  </si>
  <si>
    <t xml:space="preserve">Furadeiras para madeira e concreto (2) </t>
  </si>
  <si>
    <t>Policorte (1)</t>
  </si>
  <si>
    <t>Caminhão com carroceria (FRETE)</t>
  </si>
  <si>
    <t>Combustíveis (ADM)</t>
  </si>
  <si>
    <t>DISCRIMINAÇÃO DOS SERVIÇOS</t>
  </si>
  <si>
    <t>3.00</t>
  </si>
  <si>
    <t>4.00</t>
  </si>
  <si>
    <t>INSTALAÇÕES ELÉTRICAS E ELETRÔNICAS</t>
  </si>
  <si>
    <t>ELETRODUTOS, CAIXAS, TOMADAS, FIOS E CONEXÕES</t>
  </si>
  <si>
    <t>LUMINÁRIAS</t>
  </si>
  <si>
    <t>FIOS E CABOS</t>
  </si>
  <si>
    <t>MAT. R$</t>
  </si>
  <si>
    <t>M.O. R$</t>
  </si>
  <si>
    <t>UND</t>
  </si>
  <si>
    <t>TOTAL R$</t>
  </si>
  <si>
    <t>TOTAL</t>
  </si>
  <si>
    <t>Sub-total</t>
  </si>
  <si>
    <t>COBERTURA</t>
  </si>
  <si>
    <t>Engenheiro Civil</t>
  </si>
  <si>
    <t>TOTAL SERVIÇOS PRELMINARES</t>
  </si>
  <si>
    <t>TOTAL SERVIÇOS TECNICOS-PROFISSIONAIS</t>
  </si>
  <si>
    <t>TOTAL ARQUITETURA E ELEMENTOS DE URBANISMO</t>
  </si>
  <si>
    <t>TOTAL INSTALAÇÕES HIDRÁULICAS E SANITÁRIAS</t>
  </si>
  <si>
    <t>TOTAL INSTALAÇÕES ELÉTRICAS E ELETRÔNICAS</t>
  </si>
  <si>
    <t>TOTAL SERVIÇOS COMPLEMENTARES</t>
  </si>
  <si>
    <t>TOTAL SERVIÇOS GERAIS</t>
  </si>
  <si>
    <t>R$ C/ BDI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</si>
  <si>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</si>
  <si>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</si>
  <si>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</si>
  <si>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</si>
  <si>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</si>
  <si>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</si>
  <si>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</si>
  <si>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</si>
  <si>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</si>
  <si>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</si>
  <si>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</si>
  <si>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</si>
  <si>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</si>
  <si>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</si>
  <si>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</si>
  <si>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</si>
  <si>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</si>
  <si>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</si>
  <si>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</si>
  <si>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</si>
  <si>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</si>
  <si>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</si>
  <si>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</si>
  <si>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</si>
  <si>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</si>
  <si>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</si>
  <si>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</si>
  <si>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</si>
  <si>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</si>
  <si>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</si>
  <si>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</si>
  <si>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</si>
  <si>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</si>
  <si>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</si>
  <si>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</si>
  <si>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</si>
  <si>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9.3.16</t>
  </si>
  <si>
    <t>9.3.17</t>
  </si>
  <si>
    <t>9.3.18</t>
  </si>
  <si>
    <t>9.3.19</t>
  </si>
  <si>
    <t>9.3.20</t>
  </si>
  <si>
    <t>9.3.21</t>
  </si>
  <si>
    <t>9.3.22</t>
  </si>
  <si>
    <t>9.4</t>
  </si>
  <si>
    <t>9.4.1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</si>
  <si>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</si>
  <si>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</si>
  <si>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</si>
  <si>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</si>
  <si>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</si>
  <si>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</si>
  <si>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</si>
  <si>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</si>
  <si>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9.5.18</t>
  </si>
  <si>
    <t>custo m2</t>
  </si>
  <si>
    <t>ITEM R$</t>
  </si>
  <si>
    <t>UNITÁRIO MAT.+M.O. R$</t>
  </si>
  <si>
    <t>TOTAL MAT. R$</t>
  </si>
  <si>
    <t>TOTAL M.O. R$</t>
  </si>
  <si>
    <t>PRAZO EXECUÇÃO:</t>
  </si>
  <si>
    <t>CNPJ: XX.XXX.XXX/XXXX-XX</t>
  </si>
  <si>
    <t>SPO AREA ESPECIAL 2 - ASA SUL, BRASILIA - DF 70610-900</t>
  </si>
  <si>
    <t>Tel.: (61) 2020-3000</t>
  </si>
  <si>
    <t>COD</t>
  </si>
  <si>
    <t>QUANT.</t>
  </si>
  <si>
    <t xml:space="preserve">DEMOLIÇÃO DE REVESTIMENTO CERAMICO, DE FORMA MECANIZADA COM MARTELETE, SEM REAPROVEITAMENTO </t>
  </si>
  <si>
    <t>REMOÇÃO DE ENTULHO DE OBRA EM CAMINHAO</t>
  </si>
  <si>
    <t>APLICAÇÃO MANUAL DE PINTURA COM TINTA LÁTEX ACRÍLICA EM TETO, DUAS DEMÃOS</t>
  </si>
  <si>
    <t>APLICAÇÃO E LIXAMENTO DE MASSA LÁTEX EM TETO, DUAS DEMÃOS</t>
  </si>
  <si>
    <t>APLICAÇÃO E LIXAMENTO DE MASSA LÁTEX EM PAREDES, DUAS DEMÃOS.</t>
  </si>
  <si>
    <t>IMPERMEABILIZAÇÃO TANQUE PISCINA</t>
  </si>
  <si>
    <t>PROTEÇÃO MECÂNICA DE SUPERFICIE HORIZONTAL COM ARGAMASSA DE CIMENTO E AREIA, TRAÇO 1:3, E=3CM. AF_06/2018</t>
  </si>
  <si>
    <t>TELA GALVANIZADA FIO 24 BWG, MALHA HEXAGONAL DE 1/2´, PARA ARMADURA DE ARGAMASSA</t>
  </si>
  <si>
    <t>ALVENARIA DE BLOCOS DE CONCRETO ESTRUTURAL 14X19X29 CM, (ESPESSURA 14 CM) FBK = 14,0 MPA, PARA PAREDES COM ÁREA LÍQUIDA MAIOR OU IGUAL A 6M², COM VÃOS, UTILIZANDO COLHER DE PEDREIRO.</t>
  </si>
  <si>
    <t>PINTURA COM TINTA ALQUÍDICA DE ACABAMENTO (ESMALTE SINTÉTICO BRILHANTE) PULVERIZADA SOBRE SUPERFÍCIES METÁLICAS  EXECUTADO EM OBRA (02 DEMÃOS).</t>
  </si>
  <si>
    <t>PISO EM GRANILITE, MARMORITE OU GRANITINA ESPESSURA 8 MM, INCLUSO JUNTAS DE DILATACAO PLASTICAS</t>
  </si>
  <si>
    <t>CONCRETO FCK = 20MPA, TRAÇO 1:2,7:3 (CIMENTO/ AREIA MÉDIA/ BRITA 1) - PREPARO MECÂNICO COM BETONEIRA 400 L.</t>
  </si>
  <si>
    <t>ARMAÇÃO DO SISTEMA DE PAREDES DE CONCRETO, EXECUTADA COMO REFORÇO, VERGALHÃO DE 8,0 MM DE DIÂMETRO.</t>
  </si>
  <si>
    <t>REVESTIMENTO CERÂMICO PARA PISO COM PLACAS TIPO ESMALTADA EXTRA DE DIMENSÕES 45X45 CM.</t>
  </si>
  <si>
    <t>PRAZO EXECUÇÃO: 3 meses</t>
  </si>
  <si>
    <t>2.2.2</t>
  </si>
  <si>
    <t>2.2.3</t>
  </si>
  <si>
    <t>2.2.4</t>
  </si>
  <si>
    <t>3.1</t>
  </si>
  <si>
    <t>3.1.1</t>
  </si>
  <si>
    <t>ALVENARIA DE BLOCOS DE CONCRETO</t>
  </si>
  <si>
    <t>ESQUADRIAS</t>
  </si>
  <si>
    <t>ESQUADRIAS DE FERRO</t>
  </si>
  <si>
    <t>REVESTIMENTOS</t>
  </si>
  <si>
    <t>REVESTIMENTO DE PISOS</t>
  </si>
  <si>
    <t>4.4.4</t>
  </si>
  <si>
    <t>PAREDES COM CERAMICA</t>
  </si>
  <si>
    <t>PINTURA COM TINTA A BASE DE ESMALTE</t>
  </si>
  <si>
    <t>PINTURA COM TINTA A BASE DE PVA</t>
  </si>
  <si>
    <t xml:space="preserve">IMPERMEABILIZAÇÃO </t>
  </si>
  <si>
    <t>und</t>
  </si>
  <si>
    <t>REFORMA DO TOLDO EM ESQUADRIA DE FERRO 3,30 X 2,00 X 2,40m</t>
  </si>
  <si>
    <t>FILTRO DE AREIA DE ALTA VAZÃO COM TANQUE EM AÇO</t>
  </si>
  <si>
    <t>REGISTRO DE GAVETA BRUTO, LATÃO, ROSCÁVEL, 2, INSTALADO EM RESERVAÇÃO DE ÁGUA DE EDIFICAÇÃO QUE POSSUA RESERVATÓRIO DE FIBRA/FIBROCIMENTO  FORNECIMENTO E INSTALAÇÃO.</t>
  </si>
  <si>
    <t>REGISTRO DE GAVETA BRUTO, LATÃO, ROSCÁVEL, 2 1/2, INSTALADO EM RESERVAÇÃO DE ÁGUA DE EDIFICAÇÃO QUE POSSUA RESERVATÓRIO DE FIBRA/FIBROCIMENTO  FORNECIMENTO E INSTALAÇÃO.</t>
  </si>
  <si>
    <t xml:space="preserve">TE, PVC, SOLDÁVEL, DN 50MM, INSTALADO EM PRUMADA DE ÁGUA - FORNECIMENTO E INSTALAÇÃO. </t>
  </si>
  <si>
    <t xml:space="preserve">TE, PVC, SOLDÁVEL, DN 75MM, INSTALADO EM PRUMADA DE ÁGUA - FORNECIMENTO E INSTALAÇÃO. </t>
  </si>
  <si>
    <t>TE DE REDUÇÃO, PVC, SOLDÁVEL, DN 75MM X 50MM, INSTALADO EM PRUMADA DE ÁGUA - FORNECIMENTO E INSTALAÇÃO.</t>
  </si>
  <si>
    <t>LUVA REDUCAO PVC SOLDAVEL DIAM. 75x60mm</t>
  </si>
  <si>
    <t>LUVA REDUCAO PVC SOLDAVEL DIAM. 60x50mm</t>
  </si>
  <si>
    <t>COADEIRA SKIMER MODELO WC COADEIRA SKIMER MODELO WC</t>
  </si>
  <si>
    <t>DISPOSITIVO DE ASPIRAÇÃO 50MM</t>
  </si>
  <si>
    <t>DISPOSITIVO DE RETORNO 50MM</t>
  </si>
  <si>
    <t>GRADE DE FUNDO INOX 30CM X 30CM</t>
  </si>
  <si>
    <t xml:space="preserve">Demolição e Escavação </t>
  </si>
  <si>
    <t>ESCAVAÇÃO MANUAL DE VALA COM PROFUNDIDADE MENOR OU IGUAL A 1,30 M. AF_03/2016</t>
  </si>
  <si>
    <t>REATERRO MANUAL DE VALAS COM COMPACTAÇÃO MECANIZADA. AF_04/2016</t>
  </si>
  <si>
    <t>CAIXA DE PASSAGEM 80X80X62 FUNDO BRITA COM TAMPA</t>
  </si>
  <si>
    <t>ELETRODUTO DE AÇO GALVANIZADO, CLASSE LEVE, DN 20 MM (3/4) - FORNECIMENTO E INSTALAÇÃO.</t>
  </si>
  <si>
    <t>ELETRODUTO DE AÇO GALVANIZADO, CLASSE LEVE, DN 25 MM (1) - FORNECIMENTO E INSTALAÇÃO.</t>
  </si>
  <si>
    <t>ELETRODUTO FERRO GALVANIZADO - 2""</t>
  </si>
  <si>
    <t>ELETRODUTO FERRO GALVANIZADO 3""</t>
  </si>
  <si>
    <t xml:space="preserve">CONDULETE DE ALUMÍNIO, TIPO X, PARA ELETRODUTO DE AÇO GALVANIZADO DN 20 MM (3/4''), APARENTE - FORNECIMENTO E INSTALAÇÃO. </t>
  </si>
  <si>
    <t>CONDULETE DE ALUMÍNIO, TIPO X, PARA ELETRODUTO DE AÇO GALVANIZADO DN 25 MM (1''), APARENTE - FORNECIMENTO E INSTALAÇÃO.</t>
  </si>
  <si>
    <t>CONDULETE ALUMINIO ""X"" 2"" COM TAMPA</t>
  </si>
  <si>
    <t>CONDULETE ALUMINIO ""X"" 3"" COM TAMPA</t>
  </si>
  <si>
    <t>CABO DE COBRE FLEXÍVEL ISOLADO, 1,5 MM², ANTI-CHAMA 0,6/1,0 KV, PARA CIRCUITOS TERMINAIS - FORNECIMENTO E INSTALAÇÃO.</t>
  </si>
  <si>
    <t>CABO DE COBRE FLEXÍVEL ISOLADO, 4 MM², ANTI-CHAMA 0,6/1,0 KV, PARA CIRCUITOS TERMINAIS - FORNECIMENTO E INSTALAÇÃO.</t>
  </si>
  <si>
    <t xml:space="preserve">CABO DE COBRE FLEXÍVEL ISOLADO, 6 MM², ANTI-CHAMA 0,6/1,0 KV, PARA CIRCUITOS TERMINAIS - FORNECIMENTO E INSTALAÇÃO. </t>
  </si>
  <si>
    <t>CABO DE COBRE FLEXÍVEL ISOLADO, 10 MM², ANTI-CHAMA 0,6/1,0 KV, PARA CIRCUITOS TERMINAIS - FORNECIMENTO E INSTALAÇÃO.</t>
  </si>
  <si>
    <t>CABO DE COBRE FLEXÍVEL ISOLADO, 70 MM², ANTI-CHAMA 0,6/1,0 KV, PARA DISTRIBUIÇÃO - FORNECIMENTO E INSTALAÇÃO.</t>
  </si>
  <si>
    <t>CABO DE COBRE FLEXÍVEL ISOLADO, 50 MM², ANTI-CHAMA 0,6/1,0 KV, PARA DISTRIBUIÇÃO - FORNECIMENTO E INSTALAÇÃO.</t>
  </si>
  <si>
    <t>LUMINÁRIA TIPO PLAFON (SOBREPOR), QUADRADA, 24X24CM, EM ALUMINIO PINTADO NA COR BRANCA, C/DIFUSOR EM VIDRO, ALADIN OU SIMILAR</t>
  </si>
  <si>
    <t>ACESSÓRIOS E QUADROS</t>
  </si>
  <si>
    <t>TUBO, PVC, SOLDÁVEL, DN 50MM, INSTALADO EM PRUMADA DE ÁGUA - FORNECIMENTO E INSTALAÇÃO.</t>
  </si>
  <si>
    <t>TUBO, PVC, SOLDÁVEL, DN 75MM, INSTALADO EM PRUMADA DE ÁGUA - FORNECIMENTO E INSTALAÇÃO.</t>
  </si>
  <si>
    <t>CABO DE COBRE FLEXÍVEL ISOLADO, 2,5 MM², ANTI-CHAMA 0,6/1,0 KV, PARA CIRCUITOS TERMINAIS - FORNECIMENTO E INSTALAÇÃO.</t>
  </si>
  <si>
    <t>BOMBA DOSADORA 1,5CV</t>
  </si>
  <si>
    <t>QUADRO DE COMANDO DE BOMBA PARA 4 BOMBAS</t>
  </si>
  <si>
    <t>QUADRO DE COMANDO DE BOMBA TROCADOR DE CALOR</t>
  </si>
  <si>
    <t>QUADRO CHEGADA COM DISJUNTOR DE 150A</t>
  </si>
  <si>
    <t>QUADRO DISTRIBUICAO 50A</t>
  </si>
  <si>
    <t>CHUVEIRO COM DESVIADOR FLEXIVEL E DUCHA MANUAL</t>
  </si>
  <si>
    <t>REGISTRO DE ESFERA DIAMETRO 3/4"</t>
  </si>
  <si>
    <t>DUCHA DE INOX REDONDA</t>
  </si>
  <si>
    <t xml:space="preserve">BARRA DE APOIO EM "L", EM ACO INOX POLIDO 80 X 80 CM, FIXADA NA PAREDE - FORNECIMENTO E INSTALACAO. </t>
  </si>
  <si>
    <t>BARRA DE APOIO RETA, EM ACO INOX POLIDO, COMPRIMENTO 60CM, FIXADA NA PAREDE - FORNECIMENTO E INSTALAÇÃO.</t>
  </si>
  <si>
    <t>BARRA DE APOIO RETA, EM ACO INOX POLIDO, COMPRIMENTO 90 CM, FIXADA NA PAREDE - FORNECIMENTO E INSTALAÇÃO.</t>
  </si>
  <si>
    <t>TUBO, PVC, SOLDÁVEL, DN 25MM, INSTALADO EM PRUMADA DE ÁGUA - FORNECIMENTO E INSTALAÇÃO.</t>
  </si>
  <si>
    <t xml:space="preserve">TUBO, PVC, SOLDÁVEL, DN 32MM, INSTALADO EM PRUMADA DE ÁGUA - FORNECIMENTO E INSTALAÇÃO. </t>
  </si>
  <si>
    <t xml:space="preserve">JOELHO 90 GRAUS, PVC, SOLDÁVEL, DN 25MM, INSTALADO EM PRUMADA DE ÁGUA - FORNECIMENTO E INSTALAÇÃO. </t>
  </si>
  <si>
    <t>JOELHO 90 GRAUS, PVC, SOLDÁVEL, DN 32MM, INSTALADO EM PRUMADA DE ÁGUA - FORNECIMENTO E INSTALAÇÃO.</t>
  </si>
  <si>
    <t>LUVA, PVC, SOLDÁVEL, DN 25MM, INSTALADO EM PRUMADA DE ÁGUA - FORNECIMENTO E INSTALAÇÃO.</t>
  </si>
  <si>
    <t xml:space="preserve">LUVA, PVC, SOLDÁVEL, DN 32MM, INSTALADO EM PRUMADA DE ÁGUA - FORNECIMENTO E INSTALAÇÃO. </t>
  </si>
  <si>
    <t>EQUIPAMENTOS E ACESSÓRIOS</t>
  </si>
  <si>
    <t>LIMPEZA FINAL DA OBRA</t>
  </si>
  <si>
    <t>5.1.4</t>
  </si>
  <si>
    <t>APLICAÇÃO MANUAL DE PINTURA COM TINTA LÁTEX ACRÍLICA EM PAREDES, DUAS DEMÃOS.</t>
  </si>
  <si>
    <t>PORTAO DE FERRO REDONDO PT-6 C/FERRAGENS</t>
  </si>
  <si>
    <t>PLACA DE RESPONSABILIDADE TECNICA EM OBRAS</t>
  </si>
  <si>
    <t>ANOTAÇÃO DE RESPONSABILIDADE TÉCNICA (A.R.T.)</t>
  </si>
  <si>
    <t xml:space="preserve">CREA </t>
  </si>
  <si>
    <t>5.3</t>
  </si>
  <si>
    <t>5.3.1</t>
  </si>
  <si>
    <t>5.4.2</t>
  </si>
  <si>
    <t>5.4.3</t>
  </si>
  <si>
    <t>5.4.4</t>
  </si>
  <si>
    <r>
      <t xml:space="preserve">OBJETO: </t>
    </r>
    <r>
      <rPr>
        <b/>
        <sz val="12"/>
        <color indexed="8"/>
        <rFont val="Arial"/>
        <family val="2"/>
      </rPr>
      <t>REFORMA DA PISCINA</t>
    </r>
  </si>
  <si>
    <t>PISO TATIL EKOBRASIL PNEU RECICL. ALERTA/DIRECIONAL 25X25X5</t>
  </si>
  <si>
    <t>REVESTIMENTO PISCINA CERAMICA 15x15cn AZUL LAGUNA ELIANE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</si>
  <si>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</si>
  <si>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>CORRIMÃO DUPLO EM TUBO DE AÇO INOX D = 1 1/2" - FIXADO EM ALVENARIA</t>
  </si>
  <si>
    <t>3.1.1.1</t>
  </si>
  <si>
    <t>3.1.1.2</t>
  </si>
  <si>
    <t>3.1.1.3</t>
  </si>
  <si>
    <t>3.1.1.4</t>
  </si>
  <si>
    <t>3.2</t>
  </si>
  <si>
    <t>3.2.1</t>
  </si>
  <si>
    <t>3.2.1.1</t>
  </si>
  <si>
    <t>3.2.1.2</t>
  </si>
  <si>
    <t>3.3</t>
  </si>
  <si>
    <t>3.3.1</t>
  </si>
  <si>
    <t>3.3.1.1</t>
  </si>
  <si>
    <t>3.3.1.2</t>
  </si>
  <si>
    <t>3.3.1.3</t>
  </si>
  <si>
    <t>3.3.1.4</t>
  </si>
  <si>
    <t>3.3.1.5</t>
  </si>
  <si>
    <t>3.3.2</t>
  </si>
  <si>
    <t>3.3.2.1</t>
  </si>
  <si>
    <t>3.3.3</t>
  </si>
  <si>
    <t>3.3.3.1</t>
  </si>
  <si>
    <t>3.3.4</t>
  </si>
  <si>
    <t>3.3.4.1</t>
  </si>
  <si>
    <t>3.3.4.2</t>
  </si>
  <si>
    <t>3.3.4.3</t>
  </si>
  <si>
    <t>3.3.4.4</t>
  </si>
  <si>
    <t>3.4</t>
  </si>
  <si>
    <t>3.4.1</t>
  </si>
  <si>
    <t>3.4.1.1</t>
  </si>
  <si>
    <t>3.4.1.2</t>
  </si>
  <si>
    <t>3.4.1.3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</si>
  <si>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</si>
  <si>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</si>
  <si>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</si>
  <si>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</si>
  <si>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</si>
  <si>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</si>
  <si>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</si>
  <si>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</si>
  <si>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</si>
  <si>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</si>
  <si>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3.6</t>
  </si>
  <si>
    <t>3.6.1</t>
  </si>
  <si>
    <t>4.1.2</t>
  </si>
  <si>
    <t>4.1.3</t>
  </si>
  <si>
    <t>4.1.4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</si>
  <si>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</si>
  <si>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</si>
  <si>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</si>
  <si>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</si>
  <si>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</si>
  <si>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</si>
  <si>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</si>
  <si>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</si>
  <si>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</si>
  <si>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</si>
  <si>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</si>
  <si>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</si>
  <si>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</si>
  <si>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</si>
  <si>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</si>
  <si>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</si>
  <si>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5.1.</t>
  </si>
  <si>
    <t>5.1.5</t>
  </si>
  <si>
    <t>5.1.6</t>
  </si>
  <si>
    <t>5.1.7</t>
  </si>
  <si>
    <t>5.1.8</t>
  </si>
  <si>
    <t>5.3.2</t>
  </si>
  <si>
    <t>5.3.3</t>
  </si>
  <si>
    <t>5.3.4</t>
  </si>
  <si>
    <t>5.3.5</t>
  </si>
  <si>
    <t>5.3.6</t>
  </si>
  <si>
    <t>5.3.7</t>
  </si>
  <si>
    <t>6.1</t>
  </si>
  <si>
    <t>EXECUÇÃO DE PASSEIO (CALÇADA) OU PISO DE CONCRETO COM CONCRETO MOLDADO IN LOCO, USINADO, ACABAMENTO CONVENCIONAL, ESPESSURA 8 CM, ARMADO. AF_07/2016</t>
  </si>
  <si>
    <t>3.3.1.6</t>
  </si>
  <si>
    <t>3.3.1.7</t>
  </si>
  <si>
    <t>CONTRAPISO EM ARGAMASSA TRAÇO 1:4 (CIMENTO E AREIA), PREPARO MANUAL, APLICADO EM ÁREAS MOLHADAS SOBRE LAJE, ADERIDO, ESPESSURA 2CM. AF_06/2014</t>
  </si>
  <si>
    <t>PLACA EM CERÂMICA ESMALTADA ANTIDERRAPANTE PEI-4 PARA ÁREAS EXTERNAS, GRUPO DE ABSORÇÃO BIB, RESISTÊNCIA QUÍMICA A, ASSENTADO COM ARGAMASSA COLANTE INDUSTRIALIZADA</t>
  </si>
  <si>
    <t>SBC - 016500  - 06/2018</t>
  </si>
  <si>
    <t>SBC - 23716 - 06/2018</t>
  </si>
  <si>
    <t>SINAPI - 93358 - 07/2020</t>
  </si>
  <si>
    <t>SINAPI - 93382 - 07/2020</t>
  </si>
  <si>
    <t>SINAPI - 87458 - 06/2020</t>
  </si>
  <si>
    <t>SINAPI - 91602 - 06/2020</t>
  </si>
  <si>
    <t>SINAPI - 94964 - 06/2020</t>
  </si>
  <si>
    <t>SINAPI - 83450 - 04/2018</t>
  </si>
  <si>
    <t>SINAPI - 99839 - 06/2020</t>
  </si>
  <si>
    <t>AGETOP CIVIL - 180302 - 04/2019</t>
  </si>
  <si>
    <t>AZULEJO 15,5x15,5cm BRILHANTE BOLD AZUL PISCINA CERAL ELIANE</t>
  </si>
  <si>
    <t>SBC - 120352 - 07/2020</t>
  </si>
  <si>
    <t>SINAPI - 87249 - 07/2020</t>
  </si>
  <si>
    <t>SINAPI - 84191 - 07/2020</t>
  </si>
  <si>
    <t>CPOS - 18.06.302 - 07/2020</t>
  </si>
  <si>
    <t>SINAPI - 94995 - 07/2020</t>
  </si>
  <si>
    <t>SINAPI - 87737 - 07/2020</t>
  </si>
  <si>
    <t>SINAPI - 100759 - 07/2020</t>
  </si>
  <si>
    <t>SINAPI - 88496 - 07/2020</t>
  </si>
  <si>
    <t>SINAPI - 88497 - 07/2020</t>
  </si>
  <si>
    <t>SINAPI - 88488 - 07/2020</t>
  </si>
  <si>
    <t>SINAPI - 88489 - 07/2020</t>
  </si>
  <si>
    <t>SINAPI - 98565 - 07/2020</t>
  </si>
  <si>
    <t>CPOS - 32.20.060 - 07/2020</t>
  </si>
  <si>
    <t>SINAPI - 38189 07/2020</t>
  </si>
  <si>
    <t>SETOP - SER-COR-030 - 04/2020</t>
  </si>
  <si>
    <t xml:space="preserve">CALHA COM GRELHA DE PISO NORMAL DN 200 EM PVC </t>
  </si>
  <si>
    <t>ORSE- 4957 - 05/2020</t>
  </si>
  <si>
    <t>SINAPI - 100864 - 07/2020</t>
  </si>
  <si>
    <t>SINAPI - 100869 - 07/2020</t>
  </si>
  <si>
    <t>SINAPI - 100866 - 07/2020</t>
  </si>
  <si>
    <t>AGETOP CIVIL - 080976 - 04/2019</t>
  </si>
  <si>
    <t>IOPES - 170357 - 02/2020</t>
  </si>
  <si>
    <t>ORSE - 1859  + ORSE 302 -  05/2020</t>
  </si>
  <si>
    <t>SINAPI - 89446 - 07/2020</t>
  </si>
  <si>
    <t>SINAPI - 89447 - 07/2020</t>
  </si>
  <si>
    <t>SINAPI - 89449 - 07/2020</t>
  </si>
  <si>
    <t>SINAPI - 89451 - 07/2020</t>
  </si>
  <si>
    <t>SINAPI - 94498 - 07/2020</t>
  </si>
  <si>
    <t>SINAPI - 94499  - 07/2020</t>
  </si>
  <si>
    <t>SINAPI - 89625  - 07/2020</t>
  </si>
  <si>
    <t>SINAPI - 89629  - 07/2020</t>
  </si>
  <si>
    <t>SINAPI - 89630  - 07/2020</t>
  </si>
  <si>
    <t>SBC - 052593 - 08/2020</t>
  </si>
  <si>
    <t>SBC - 052592 - 08/2020</t>
  </si>
  <si>
    <t>SINAPI - 89481 - 07/2020</t>
  </si>
  <si>
    <t>SINAPI - 89492- 07/2020</t>
  </si>
  <si>
    <t>SINAPI - 89528- 07/2020</t>
  </si>
  <si>
    <t>SINAPI - 89541- 07/2020</t>
  </si>
  <si>
    <t>ORSE - 10964 - 05/2020</t>
  </si>
  <si>
    <t>SBC - 077719 - 08/2020</t>
  </si>
  <si>
    <t>ORSE - 10965 - 05/2020</t>
  </si>
  <si>
    <t>SBC - 023217  - 08/2020</t>
  </si>
  <si>
    <t>PONTO DE AGUA FRIA EM TUBO PVC SOLDAVEL</t>
  </si>
  <si>
    <t xml:space="preserve">CONJUNTO MOTOR-BOMBA CENTRIFUGA 5CV MULTIESTAGIO </t>
  </si>
  <si>
    <t>CPOS - 43.10.490 - 07/2020</t>
  </si>
  <si>
    <t>CPOS - 43.12.500 - 07/2020</t>
  </si>
  <si>
    <t>CPOS - 4312200 - 11/2018</t>
  </si>
  <si>
    <t>SINAPI - 95749 - 07/2020</t>
  </si>
  <si>
    <t>SINAPI - 95750 - 07/2020</t>
  </si>
  <si>
    <t>SBC- 059078 - 08/2020</t>
  </si>
  <si>
    <t>SBC - 059030 - 08/2020</t>
  </si>
  <si>
    <t>CAERN - 2070165 - 05/2020</t>
  </si>
  <si>
    <t>CAERN - 2070162 - 05/2020</t>
  </si>
  <si>
    <t>SBC - 064533 - 08/2020</t>
  </si>
  <si>
    <t>SBC - 064083 - 08/2020</t>
  </si>
  <si>
    <t>IMPERMEABILIZACAO C/ELASTOMERO MANTA BUTIL 4mm VIAPOL</t>
  </si>
  <si>
    <t>SBC - 160016 - 08/2020</t>
  </si>
  <si>
    <t>SUPORTE EM LATAO CROMADO PARA PISCINAS DE ALVENARIA</t>
  </si>
  <si>
    <t>INTERNET SOGRAMAR</t>
  </si>
  <si>
    <t>3.5.10</t>
  </si>
  <si>
    <t>BANCO ARTICULADO EM AÇO INOX COM CANTOS ARREDONDADOS, PROFUNDIDADE MÍNIMA DE 0,45 M E COMPRIMENTO MÍNIMO DE 0,70 M, CONFORME NBR 9050</t>
  </si>
  <si>
    <t>SETOP - ACE-BAN-010  - 04/2020</t>
  </si>
  <si>
    <t>JOELHO 90 GRAUS, PVC, SOLDÁVEL, DN 75MM, INSTALADO EM PRUMADA DE ÁGUA - FORNECIMENTO E INSTALAÇÃO. AF_12/2014</t>
  </si>
  <si>
    <t>SINAPI - 89513- 07/2020</t>
  </si>
  <si>
    <t>JOELHO 90 GRAUS, PVC, SOLDÁVEL, DN 50MM, INSTALADO EM PRUMADA DE ÁGUA - FORNECIMENTO E INSTALAÇÃO. AF_12/2014</t>
  </si>
  <si>
    <t>SINAPI - 89501- 07/2020</t>
  </si>
  <si>
    <t>DATA: 27/08/2020</t>
  </si>
  <si>
    <t xml:space="preserve">Empreendimento: </t>
  </si>
  <si>
    <t>Tipo de Obra:</t>
  </si>
  <si>
    <t>Construção de Edifícios e Reformas (Quadras, unidades habitacionais, escolas, restaurantes, etc)</t>
  </si>
  <si>
    <t>Base de Cálculo do ISS da Prefeitura:</t>
  </si>
  <si>
    <t>Orçamento Desonerado? (Sim ou Não)</t>
  </si>
  <si>
    <t>NÃO</t>
  </si>
  <si>
    <t>DESCRIÇÃO</t>
  </si>
  <si>
    <t>VALORES DE REFERÊNCIA - %</t>
  </si>
  <si>
    <t>BDI ADOTADO - %</t>
  </si>
  <si>
    <t>(1° Quartil)</t>
  </si>
  <si>
    <t>MÉDIA</t>
  </si>
  <si>
    <t>(3° Quartil)</t>
  </si>
  <si>
    <t>Administração Central</t>
  </si>
  <si>
    <t>Seguros e Garantias (*)</t>
  </si>
  <si>
    <t>Riscos</t>
  </si>
  <si>
    <t>Despesas Financeiras</t>
  </si>
  <si>
    <t>Lucro</t>
  </si>
  <si>
    <t>COFINS</t>
  </si>
  <si>
    <t>PIS</t>
  </si>
  <si>
    <t>ISS (**)</t>
  </si>
  <si>
    <t>LIMITE BDI C/ DESONERAÇÃO</t>
  </si>
  <si>
    <t>LIMITE BDI S/ DESONERAÇÃO</t>
  </si>
  <si>
    <t>Fonte da composição, valores de referência e fórmula do BDI:  Acórdão 2622/2013-TCU-Plenário</t>
  </si>
  <si>
    <t>Desoneração: Lei n°13.161/2015</t>
  </si>
  <si>
    <t>Verificação do  BDI:</t>
  </si>
  <si>
    <t>BDI S/ DESN</t>
  </si>
  <si>
    <t>BDI C/ DESN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</si>
  <si>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</si>
  <si>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</si>
  <si>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</si>
  <si>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</si>
  <si>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R, S, G = taxa de risco, seguro e garantia do empreendimento;</t>
  </si>
  <si>
    <t>I = taxa de tributos (Onerado: I = COFINS+PIS+ISS / Desonerado: I = COFINS+PIS+ISS+CPRB);</t>
  </si>
  <si>
    <t>L = taxa de lucro.</t>
  </si>
  <si>
    <t>COMPOSIÇÃO ANALÍTICA DE BDI</t>
  </si>
  <si>
    <t>ENAP - PISCINA</t>
  </si>
  <si>
    <r>
      <t xml:space="preserve">DATA: </t>
    </r>
    <r>
      <rPr>
        <b/>
        <sz val="12"/>
        <color indexed="8"/>
        <rFont val="Arial"/>
        <family val="2"/>
      </rPr>
      <t>27</t>
    </r>
    <r>
      <rPr>
        <b/>
        <sz val="12"/>
        <color indexed="8"/>
        <rFont val="Arial"/>
        <family val="2"/>
      </rPr>
      <t>/08/2020</t>
    </r>
  </si>
  <si>
    <t>SINAPI - 95801  - 07/2020</t>
  </si>
  <si>
    <t>SINAPI - 95802 - 07/2020</t>
  </si>
  <si>
    <t>SBC - 061232 - 08/2020</t>
  </si>
  <si>
    <t>SBC - 061234 - 08/2020</t>
  </si>
  <si>
    <t>ORSE - 9465 - 05/2020</t>
  </si>
  <si>
    <t>SINAPI - 91925 - 07/2020</t>
  </si>
  <si>
    <t>SINAPI - 91927 - 07/2020</t>
  </si>
  <si>
    <t>SINAPI - 91929 - 07/2020</t>
  </si>
  <si>
    <t>SINAPI - 91931 - 07/2020</t>
  </si>
  <si>
    <t>SINAPI - 91933 - 07/2020</t>
  </si>
  <si>
    <t>SINAPI - 92988 - 07/2020</t>
  </si>
  <si>
    <t>SINAPI - 92990 - 07/2020</t>
  </si>
  <si>
    <t>SINAPI - 9537 - 05/2018</t>
  </si>
  <si>
    <t>SINAPI - 97634 - 07/2020</t>
  </si>
  <si>
    <t>SBC - 202106 - 06/2018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</si>
</sst>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;[Red]0.00"/>
    <numFmt numFmtId="179" formatCode="#,##0.00;[Red]#,##0.00"/>
    <numFmt numFmtId="180" formatCode="#,##0.0"/>
    <numFmt numFmtId="181" formatCode="#,##0.0000"/>
    <numFmt numFmtId="182" formatCode="0.0%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[$-416]dddd\,\ d&quot; de &quot;mmmm&quot; de &quot;yyyy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b/>
      <sz val="10"/>
      <name val="Century Gothic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0"/>
      <color indexed="18"/>
      <name val="Times New Roman"/>
      <family val="1"/>
    </font>
    <font>
      <sz val="10"/>
      <color indexed="55"/>
      <name val="Times New Roman"/>
      <family val="1"/>
    </font>
    <font>
      <sz val="10"/>
      <color indexed="22"/>
      <name val="Times New Roman"/>
      <family val="1"/>
    </font>
    <font>
      <sz val="6"/>
      <color indexed="54"/>
      <name val="Times New Roman"/>
      <family val="1"/>
    </font>
    <font>
      <sz val="6"/>
      <color indexed="22"/>
      <name val="Times New Roman"/>
      <family val="1"/>
    </font>
    <font>
      <sz val="6"/>
      <color indexed="55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color indexed="18"/>
      <name val="Times New Roman"/>
      <family val="1"/>
    </font>
    <font>
      <sz val="6"/>
      <color indexed="1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3"/>
      <name val="Arial"/>
      <family val="2"/>
    </font>
    <font>
      <b/>
      <sz val="16"/>
      <color indexed="9"/>
      <name val="Arial"/>
      <family val="2"/>
    </font>
    <font>
      <sz val="10"/>
      <color indexed="55"/>
      <name val="Arial"/>
      <family val="2"/>
    </font>
    <font>
      <b/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20"/>
      <color rgb="FFFFFF00"/>
      <name val="Arial"/>
      <family val="2"/>
    </font>
    <font>
      <b/>
      <sz val="16"/>
      <color theme="0"/>
      <name val="Arial"/>
      <family val="2"/>
    </font>
    <font>
      <sz val="10"/>
      <color theme="0" tint="-0.3499799966812134"/>
      <name val="Arial"/>
      <family val="2"/>
    </font>
    <font>
      <b/>
      <u val="single"/>
      <sz val="14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double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double"/>
      <top style="hair"/>
      <bottom/>
    </border>
    <border>
      <left style="thin"/>
      <right style="double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 style="double"/>
      <right/>
      <top style="hair"/>
      <bottom style="double"/>
    </border>
    <border>
      <left/>
      <right style="thin"/>
      <top style="hair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6" fillId="30" borderId="0" applyNumberFormat="0" applyBorder="0" applyAlignment="0" applyProtection="0"/>
    <xf numFmtId="4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7" fillId="32" borderId="0" applyNumberFormat="0" applyBorder="0" applyAlignment="0" applyProtection="0"/>
    <xf numFmtId="0" fontId="7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justify"/>
    </xf>
    <xf numFmtId="177" fontId="10" fillId="0" borderId="0" xfId="66" applyNumberFormat="1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justify"/>
    </xf>
    <xf numFmtId="177" fontId="14" fillId="0" borderId="0" xfId="66" applyNumberFormat="1" applyFont="1" applyBorder="1" applyAlignment="1">
      <alignment/>
    </xf>
    <xf numFmtId="0" fontId="13" fillId="0" borderId="0" xfId="0" applyFont="1" applyBorder="1" applyAlignment="1">
      <alignment vertical="justify"/>
    </xf>
    <xf numFmtId="177" fontId="13" fillId="0" borderId="0" xfId="66" applyNumberFormat="1" applyFont="1" applyBorder="1" applyAlignment="1">
      <alignment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justify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1" fillId="0" borderId="0" xfId="0" applyFont="1" applyBorder="1" applyAlignment="1">
      <alignment vertical="justify"/>
    </xf>
    <xf numFmtId="177" fontId="0" fillId="0" borderId="0" xfId="66" applyNumberFormat="1" applyFont="1" applyBorder="1" applyAlignment="1">
      <alignment/>
    </xf>
    <xf numFmtId="0" fontId="0" fillId="0" borderId="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177" fontId="2" fillId="0" borderId="0" xfId="66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177" fontId="11" fillId="0" borderId="0" xfId="66" applyNumberFormat="1" applyFont="1" applyBorder="1" applyAlignment="1">
      <alignment/>
    </xf>
    <xf numFmtId="177" fontId="12" fillId="0" borderId="0" xfId="66" applyNumberFormat="1" applyFont="1" applyBorder="1" applyAlignment="1">
      <alignment/>
    </xf>
    <xf numFmtId="0" fontId="3" fillId="0" borderId="0" xfId="0" applyFont="1" applyBorder="1" applyAlignment="1">
      <alignment vertical="justify"/>
    </xf>
    <xf numFmtId="177" fontId="3" fillId="0" borderId="0" xfId="66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justify"/>
    </xf>
    <xf numFmtId="0" fontId="1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justify"/>
    </xf>
    <xf numFmtId="0" fontId="0" fillId="0" borderId="0" xfId="0" applyFont="1" applyFill="1" applyBorder="1" applyAlignment="1">
      <alignment vertical="justify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/>
    </xf>
    <xf numFmtId="0" fontId="18" fillId="0" borderId="0" xfId="0" applyFont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top"/>
    </xf>
    <xf numFmtId="177" fontId="18" fillId="0" borderId="0" xfId="66" applyNumberFormat="1" applyFont="1" applyBorder="1" applyAlignment="1">
      <alignment/>
    </xf>
    <xf numFmtId="0" fontId="5" fillId="0" borderId="0" xfId="0" applyFont="1" applyBorder="1" applyAlignment="1">
      <alignment/>
    </xf>
    <xf numFmtId="177" fontId="3" fillId="0" borderId="0" xfId="66" applyNumberFormat="1" applyFont="1" applyBorder="1" applyAlignment="1">
      <alignment vertical="center"/>
    </xf>
    <xf numFmtId="4" fontId="0" fillId="0" borderId="0" xfId="49" applyBorder="1">
      <alignment/>
      <protection/>
    </xf>
    <xf numFmtId="4" fontId="0" fillId="0" borderId="0" xfId="49" applyFont="1" applyBorder="1">
      <alignment/>
      <protection/>
    </xf>
    <xf numFmtId="4" fontId="0" fillId="0" borderId="0" xfId="49" applyFont="1" applyFill="1" applyBorder="1">
      <alignment/>
      <protection/>
    </xf>
    <xf numFmtId="4" fontId="20" fillId="0" borderId="10" xfId="49" applyFont="1" applyFill="1" applyBorder="1" applyAlignment="1">
      <alignment horizontal="center" vertical="center"/>
      <protection/>
    </xf>
    <xf numFmtId="4" fontId="20" fillId="0" borderId="11" xfId="49" applyFont="1" applyFill="1" applyBorder="1" applyAlignment="1">
      <alignment horizontal="justify" vertical="center"/>
      <protection/>
    </xf>
    <xf numFmtId="4" fontId="20" fillId="0" borderId="11" xfId="49" applyNumberFormat="1" applyFont="1" applyFill="1" applyBorder="1" applyAlignment="1">
      <alignment horizontal="center" vertical="center"/>
      <protection/>
    </xf>
    <xf numFmtId="177" fontId="18" fillId="0" borderId="11" xfId="66" applyFont="1" applyFill="1" applyBorder="1" applyAlignment="1">
      <alignment horizontal="right" vertical="center"/>
    </xf>
    <xf numFmtId="4" fontId="20" fillId="0" borderId="12" xfId="49" applyFont="1" applyFill="1" applyBorder="1" applyAlignment="1">
      <alignment horizontal="center" vertical="center"/>
      <protection/>
    </xf>
    <xf numFmtId="4" fontId="20" fillId="0" borderId="13" xfId="49" applyFont="1" applyFill="1" applyBorder="1" applyAlignment="1">
      <alignment horizontal="justify" vertical="center"/>
      <protection/>
    </xf>
    <xf numFmtId="177" fontId="18" fillId="0" borderId="13" xfId="66" applyFont="1" applyFill="1" applyBorder="1" applyAlignment="1">
      <alignment horizontal="right" vertical="center"/>
    </xf>
    <xf numFmtId="4" fontId="20" fillId="0" borderId="13" xfId="49" applyNumberFormat="1" applyFont="1" applyFill="1" applyBorder="1" applyAlignment="1">
      <alignment horizontal="center" vertical="center"/>
      <protection/>
    </xf>
    <xf numFmtId="177" fontId="18" fillId="33" borderId="13" xfId="66" applyFont="1" applyFill="1" applyBorder="1" applyAlignment="1">
      <alignment horizontal="right" vertical="center"/>
    </xf>
    <xf numFmtId="177" fontId="20" fillId="0" borderId="14" xfId="66" applyFont="1" applyFill="1" applyBorder="1" applyAlignment="1">
      <alignment horizontal="right" vertical="center"/>
    </xf>
    <xf numFmtId="4" fontId="18" fillId="0" borderId="15" xfId="49" applyFont="1" applyFill="1" applyBorder="1" applyAlignment="1">
      <alignment vertical="center"/>
      <protection/>
    </xf>
    <xf numFmtId="4" fontId="20" fillId="0" borderId="15" xfId="49" applyNumberFormat="1" applyFont="1" applyFill="1" applyBorder="1" applyAlignment="1">
      <alignment horizontal="center" vertical="center"/>
      <protection/>
    </xf>
    <xf numFmtId="177" fontId="2" fillId="0" borderId="14" xfId="66" applyFont="1" applyFill="1" applyBorder="1" applyAlignment="1">
      <alignment horizontal="right" vertical="center"/>
    </xf>
    <xf numFmtId="4" fontId="18" fillId="0" borderId="16" xfId="49" applyFont="1" applyFill="1" applyBorder="1" applyAlignment="1">
      <alignment vertical="center"/>
      <protection/>
    </xf>
    <xf numFmtId="4" fontId="20" fillId="0" borderId="16" xfId="49" applyNumberFormat="1" applyFont="1" applyFill="1" applyBorder="1" applyAlignment="1">
      <alignment horizontal="center" vertical="center"/>
      <protection/>
    </xf>
    <xf numFmtId="177" fontId="18" fillId="0" borderId="16" xfId="66" applyFont="1" applyFill="1" applyBorder="1" applyAlignment="1">
      <alignment horizontal="right" vertical="center"/>
    </xf>
    <xf numFmtId="177" fontId="18" fillId="0" borderId="17" xfId="66" applyFont="1" applyFill="1" applyBorder="1" applyAlignment="1">
      <alignment horizontal="right" vertical="center"/>
    </xf>
    <xf numFmtId="177" fontId="20" fillId="0" borderId="17" xfId="66" applyFont="1" applyFill="1" applyBorder="1" applyAlignment="1">
      <alignment horizontal="right" vertical="center"/>
    </xf>
    <xf numFmtId="4" fontId="20" fillId="0" borderId="18" xfId="49" applyFont="1" applyFill="1" applyBorder="1" applyAlignment="1">
      <alignment vertical="center"/>
      <protection/>
    </xf>
    <xf numFmtId="4" fontId="20" fillId="0" borderId="18" xfId="49" applyNumberFormat="1" applyFont="1" applyFill="1" applyBorder="1" applyAlignment="1">
      <alignment horizontal="center" vertical="center"/>
      <protection/>
    </xf>
    <xf numFmtId="177" fontId="18" fillId="0" borderId="19" xfId="66" applyFont="1" applyFill="1" applyBorder="1" applyAlignment="1">
      <alignment horizontal="right" vertical="center"/>
    </xf>
    <xf numFmtId="177" fontId="18" fillId="34" borderId="20" xfId="66" applyFont="1" applyFill="1" applyBorder="1" applyAlignment="1">
      <alignment horizontal="right" vertical="center"/>
    </xf>
    <xf numFmtId="177" fontId="2" fillId="0" borderId="0" xfId="66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Alignment="1">
      <alignment/>
    </xf>
    <xf numFmtId="4" fontId="21" fillId="34" borderId="0" xfId="0" applyNumberFormat="1" applyFont="1" applyFill="1" applyBorder="1" applyAlignment="1">
      <alignment horizontal="center" vertical="center"/>
    </xf>
    <xf numFmtId="4" fontId="22" fillId="34" borderId="21" xfId="0" applyNumberFormat="1" applyFont="1" applyFill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>
      <alignment horizontal="left" vertical="center"/>
    </xf>
    <xf numFmtId="177" fontId="18" fillId="0" borderId="26" xfId="0" applyNumberFormat="1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7" fontId="18" fillId="0" borderId="32" xfId="0" applyNumberFormat="1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27" xfId="0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34" borderId="27" xfId="0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4" fontId="2" fillId="0" borderId="37" xfId="0" applyNumberFormat="1" applyFont="1" applyBorder="1" applyAlignment="1">
      <alignment vertical="center"/>
    </xf>
    <xf numFmtId="4" fontId="20" fillId="0" borderId="38" xfId="49" applyFont="1" applyFill="1" applyBorder="1" applyAlignment="1">
      <alignment horizontal="center" vertical="center"/>
      <protection/>
    </xf>
    <xf numFmtId="4" fontId="20" fillId="0" borderId="15" xfId="49" applyFont="1" applyFill="1" applyBorder="1" applyAlignment="1">
      <alignment horizontal="justify" vertical="center"/>
      <protection/>
    </xf>
    <xf numFmtId="4" fontId="20" fillId="0" borderId="15" xfId="49" applyNumberFormat="1" applyFont="1" applyFill="1" applyBorder="1" applyAlignment="1">
      <alignment horizontal="right" vertical="center"/>
      <protection/>
    </xf>
    <xf numFmtId="4" fontId="2" fillId="0" borderId="39" xfId="0" applyNumberFormat="1" applyFont="1" applyBorder="1" applyAlignment="1">
      <alignment horizontal="justify" vertical="center" wrapText="1"/>
    </xf>
    <xf numFmtId="177" fontId="0" fillId="0" borderId="27" xfId="57" applyNumberFormat="1" applyFont="1" applyBorder="1" applyAlignment="1">
      <alignment horizontal="center" vertical="center"/>
    </xf>
    <xf numFmtId="0" fontId="86" fillId="0" borderId="0" xfId="0" applyFont="1" applyBorder="1" applyAlignment="1">
      <alignment/>
    </xf>
    <xf numFmtId="10" fontId="87" fillId="34" borderId="27" xfId="0" applyNumberFormat="1" applyFont="1" applyFill="1" applyBorder="1" applyAlignment="1">
      <alignment horizontal="left" vertical="center" wrapText="1"/>
    </xf>
    <xf numFmtId="0" fontId="19" fillId="0" borderId="0" xfId="50" applyFont="1" applyAlignment="1">
      <alignment wrapText="1"/>
      <protection/>
    </xf>
    <xf numFmtId="4" fontId="3" fillId="33" borderId="4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justify" wrapText="1"/>
    </xf>
    <xf numFmtId="0" fontId="0" fillId="0" borderId="27" xfId="0" applyFont="1" applyBorder="1" applyAlignment="1">
      <alignment horizontal="center" vertical="center"/>
    </xf>
    <xf numFmtId="177" fontId="0" fillId="35" borderId="27" xfId="57" applyNumberFormat="1" applyFont="1" applyFill="1" applyBorder="1" applyAlignment="1">
      <alignment horizontal="center" vertical="center"/>
    </xf>
    <xf numFmtId="177" fontId="0" fillId="0" borderId="27" xfId="57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2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26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177" fontId="0" fillId="0" borderId="27" xfId="57" applyNumberFormat="1" applyFont="1" applyBorder="1" applyAlignment="1">
      <alignment vertical="center" wrapText="1"/>
    </xf>
    <xf numFmtId="4" fontId="0" fillId="36" borderId="27" xfId="0" applyNumberFormat="1" applyFont="1" applyFill="1" applyBorder="1" applyAlignment="1">
      <alignment horizontal="right" vertical="center" wrapText="1"/>
    </xf>
    <xf numFmtId="177" fontId="2" fillId="0" borderId="27" xfId="57" applyNumberFormat="1" applyFont="1" applyFill="1" applyBorder="1" applyAlignment="1">
      <alignment vertical="center" wrapText="1"/>
    </xf>
    <xf numFmtId="179" fontId="0" fillId="0" borderId="27" xfId="0" applyNumberFormat="1" applyFont="1" applyFill="1" applyBorder="1" applyAlignment="1">
      <alignment horizontal="right" vertical="center" wrapText="1"/>
    </xf>
    <xf numFmtId="177" fontId="0" fillId="0" borderId="27" xfId="57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177" fontId="0" fillId="34" borderId="27" xfId="57" applyNumberFormat="1" applyFont="1" applyFill="1" applyBorder="1" applyAlignment="1">
      <alignment vertical="center" wrapText="1"/>
    </xf>
    <xf numFmtId="177" fontId="2" fillId="0" borderId="27" xfId="57" applyNumberFormat="1" applyFont="1" applyBorder="1" applyAlignment="1">
      <alignment vertical="center" wrapText="1"/>
    </xf>
    <xf numFmtId="0" fontId="0" fillId="35" borderId="27" xfId="0" applyFont="1" applyFill="1" applyBorder="1" applyAlignment="1">
      <alignment horizontal="center" vertical="center" wrapText="1"/>
    </xf>
    <xf numFmtId="177" fontId="0" fillId="35" borderId="27" xfId="57" applyNumberFormat="1" applyFont="1" applyFill="1" applyBorder="1" applyAlignment="1">
      <alignment vertical="center" wrapText="1"/>
    </xf>
    <xf numFmtId="0" fontId="0" fillId="35" borderId="0" xfId="0" applyFont="1" applyFill="1" applyAlignment="1">
      <alignment vertical="center" wrapText="1"/>
    </xf>
    <xf numFmtId="177" fontId="0" fillId="0" borderId="27" xfId="57" applyNumberFormat="1" applyFont="1" applyBorder="1" applyAlignment="1">
      <alignment horizontal="right" vertical="center" wrapText="1"/>
    </xf>
    <xf numFmtId="177" fontId="0" fillId="34" borderId="27" xfId="57" applyNumberFormat="1" applyFont="1" applyFill="1" applyBorder="1" applyAlignment="1">
      <alignment horizontal="right" vertical="center" wrapText="1"/>
    </xf>
    <xf numFmtId="177" fontId="2" fillId="0" borderId="27" xfId="57" applyNumberFormat="1" applyFont="1" applyFill="1" applyBorder="1" applyAlignment="1">
      <alignment horizontal="center" vertical="center" wrapText="1"/>
    </xf>
    <xf numFmtId="177" fontId="2" fillId="0" borderId="27" xfId="57" applyNumberFormat="1" applyFont="1" applyFill="1" applyBorder="1" applyAlignment="1">
      <alignment horizontal="right" vertical="center" wrapText="1"/>
    </xf>
    <xf numFmtId="177" fontId="2" fillId="35" borderId="27" xfId="57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8" fillId="0" borderId="0" xfId="0" applyFont="1" applyAlignment="1">
      <alignment vertical="center" wrapText="1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4" fontId="0" fillId="35" borderId="27" xfId="0" applyNumberFormat="1" applyFont="1" applyFill="1" applyBorder="1" applyAlignment="1">
      <alignment horizontal="right" vertical="center" wrapText="1"/>
    </xf>
    <xf numFmtId="0" fontId="2" fillId="35" borderId="27" xfId="0" applyFont="1" applyFill="1" applyBorder="1" applyAlignment="1">
      <alignment horizontal="justify" vertical="center" wrapText="1"/>
    </xf>
    <xf numFmtId="0" fontId="2" fillId="0" borderId="27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justify" vertical="center" wrapText="1"/>
      <protection/>
    </xf>
    <xf numFmtId="0" fontId="7" fillId="0" borderId="27" xfId="51" applyFont="1" applyBorder="1" applyAlignment="1">
      <alignment horizontal="center" vertical="center"/>
      <protection/>
    </xf>
    <xf numFmtId="177" fontId="6" fillId="0" borderId="27" xfId="66" applyNumberFormat="1" applyFont="1" applyBorder="1" applyAlignment="1">
      <alignment horizontal="right" vertical="center"/>
    </xf>
    <xf numFmtId="177" fontId="7" fillId="0" borderId="27" xfId="66" applyNumberFormat="1" applyFont="1" applyBorder="1" applyAlignment="1">
      <alignment horizontal="right" vertical="center"/>
    </xf>
    <xf numFmtId="0" fontId="6" fillId="0" borderId="0" xfId="50" applyFont="1">
      <alignment/>
      <protection/>
    </xf>
    <xf numFmtId="0" fontId="0" fillId="0" borderId="27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 wrapText="1"/>
      <protection/>
    </xf>
    <xf numFmtId="177" fontId="6" fillId="0" borderId="27" xfId="66" applyNumberFormat="1" applyFont="1" applyFill="1" applyBorder="1" applyAlignment="1">
      <alignment horizontal="right" vertical="center"/>
    </xf>
    <xf numFmtId="177" fontId="2" fillId="0" borderId="27" xfId="66" applyNumberFormat="1" applyFont="1" applyBorder="1" applyAlignment="1">
      <alignment horizontal="right" vertical="center"/>
    </xf>
    <xf numFmtId="177" fontId="0" fillId="0" borderId="27" xfId="66" applyNumberFormat="1" applyFont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justify" vertical="center" wrapText="1"/>
    </xf>
    <xf numFmtId="4" fontId="0" fillId="0" borderId="0" xfId="0" applyNumberFormat="1" applyFont="1" applyAlignment="1">
      <alignment vertical="center" wrapText="1"/>
    </xf>
    <xf numFmtId="4" fontId="0" fillId="0" borderId="27" xfId="0" applyNumberFormat="1" applyFont="1" applyBorder="1" applyAlignment="1">
      <alignment vertical="center" wrapText="1"/>
    </xf>
    <xf numFmtId="177" fontId="0" fillId="0" borderId="27" xfId="66" applyNumberFormat="1" applyFont="1" applyFill="1" applyBorder="1" applyAlignment="1">
      <alignment horizontal="right" vertical="center"/>
    </xf>
    <xf numFmtId="0" fontId="0" fillId="0" borderId="0" xfId="50" applyFont="1" applyAlignment="1">
      <alignment vertical="center"/>
      <protection/>
    </xf>
    <xf numFmtId="0" fontId="0" fillId="37" borderId="2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4" fontId="0" fillId="37" borderId="27" xfId="0" applyNumberFormat="1" applyFont="1" applyFill="1" applyBorder="1" applyAlignment="1">
      <alignment horizontal="right" vertical="center" wrapText="1"/>
    </xf>
    <xf numFmtId="177" fontId="2" fillId="37" borderId="27" xfId="57" applyNumberFormat="1" applyFont="1" applyFill="1" applyBorder="1" applyAlignment="1">
      <alignment vertical="center" wrapText="1"/>
    </xf>
    <xf numFmtId="10" fontId="18" fillId="0" borderId="4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4" fillId="34" borderId="0" xfId="0" applyNumberFormat="1" applyFont="1" applyFill="1" applyBorder="1" applyAlignment="1">
      <alignment horizontal="left" vertical="center"/>
    </xf>
    <xf numFmtId="4" fontId="9" fillId="34" borderId="0" xfId="0" applyNumberFormat="1" applyFont="1" applyFill="1" applyBorder="1" applyAlignment="1">
      <alignment vertical="center"/>
    </xf>
    <xf numFmtId="3" fontId="2" fillId="0" borderId="39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4" fontId="8" fillId="34" borderId="0" xfId="0" applyNumberFormat="1" applyFont="1" applyFill="1" applyBorder="1" applyAlignment="1">
      <alignment horizontal="center"/>
    </xf>
    <xf numFmtId="4" fontId="22" fillId="34" borderId="0" xfId="0" applyNumberFormat="1" applyFont="1" applyFill="1" applyBorder="1" applyAlignment="1">
      <alignment vertical="center"/>
    </xf>
    <xf numFmtId="4" fontId="2" fillId="0" borderId="42" xfId="0" applyNumberFormat="1" applyFont="1" applyBorder="1" applyAlignment="1">
      <alignment horizontal="center" vertical="center" wrapText="1"/>
    </xf>
    <xf numFmtId="10" fontId="18" fillId="0" borderId="15" xfId="66" applyNumberFormat="1" applyFont="1" applyFill="1" applyBorder="1" applyAlignment="1">
      <alignment horizontal="right" vertical="center"/>
    </xf>
    <xf numFmtId="10" fontId="18" fillId="0" borderId="11" xfId="66" applyNumberFormat="1" applyFont="1" applyFill="1" applyBorder="1" applyAlignment="1">
      <alignment horizontal="right" vertical="center"/>
    </xf>
    <xf numFmtId="10" fontId="20" fillId="0" borderId="43" xfId="66" applyNumberFormat="1" applyFont="1" applyFill="1" applyBorder="1" applyAlignment="1">
      <alignment horizontal="right" vertical="center"/>
    </xf>
    <xf numFmtId="10" fontId="20" fillId="0" borderId="44" xfId="66" applyNumberFormat="1" applyFont="1" applyFill="1" applyBorder="1" applyAlignment="1">
      <alignment horizontal="right" vertical="center"/>
    </xf>
    <xf numFmtId="177" fontId="18" fillId="35" borderId="13" xfId="66" applyFont="1" applyFill="1" applyBorder="1" applyAlignment="1">
      <alignment horizontal="right" vertical="center"/>
    </xf>
    <xf numFmtId="10" fontId="18" fillId="0" borderId="13" xfId="66" applyNumberFormat="1" applyFont="1" applyFill="1" applyBorder="1" applyAlignment="1">
      <alignment horizontal="right" vertical="center"/>
    </xf>
    <xf numFmtId="10" fontId="18" fillId="0" borderId="16" xfId="66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0" fillId="0" borderId="27" xfId="0" applyFont="1" applyBorder="1" applyAlignment="1">
      <alignment horizontal="justify" vertical="center" wrapText="1"/>
    </xf>
    <xf numFmtId="4" fontId="0" fillId="38" borderId="27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34" borderId="27" xfId="0" applyFont="1" applyFill="1" applyBorder="1" applyAlignment="1">
      <alignment horizontal="justify" vertical="center" wrapText="1"/>
    </xf>
    <xf numFmtId="0" fontId="0" fillId="35" borderId="27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wrapText="1"/>
    </xf>
    <xf numFmtId="4" fontId="0" fillId="0" borderId="27" xfId="0" applyNumberFormat="1" applyFont="1" applyFill="1" applyBorder="1" applyAlignment="1">
      <alignment horizontal="justify" vertical="top" wrapText="1"/>
    </xf>
    <xf numFmtId="0" fontId="0" fillId="0" borderId="27" xfId="51" applyFont="1" applyBorder="1" applyAlignment="1">
      <alignment horizontal="justify" vertical="center" wrapText="1"/>
      <protection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35" borderId="27" xfId="0" applyNumberFormat="1" applyFont="1" applyFill="1" applyBorder="1" applyAlignment="1">
      <alignment horizontal="justify" vertical="center" wrapText="1"/>
    </xf>
    <xf numFmtId="4" fontId="0" fillId="0" borderId="27" xfId="0" applyNumberFormat="1" applyFont="1" applyFill="1" applyBorder="1" applyAlignment="1">
      <alignment horizontal="justify" vertical="center" wrapText="1"/>
    </xf>
    <xf numFmtId="177" fontId="0" fillId="0" borderId="27" xfId="66" applyNumberFormat="1" applyFont="1" applyFill="1" applyBorder="1" applyAlignment="1">
      <alignment horizontal="right" vertical="center" wrapText="1"/>
    </xf>
    <xf numFmtId="177" fontId="0" fillId="0" borderId="27" xfId="66" applyNumberFormat="1" applyFont="1" applyBorder="1" applyAlignment="1">
      <alignment horizontal="right" vertical="center" wrapText="1"/>
    </xf>
    <xf numFmtId="177" fontId="6" fillId="0" borderId="27" xfId="66" applyNumberFormat="1" applyFont="1" applyBorder="1" applyAlignment="1">
      <alignment horizontal="right" vertical="center" wrapText="1"/>
    </xf>
    <xf numFmtId="0" fontId="6" fillId="0" borderId="0" xfId="50" applyFont="1" applyAlignment="1">
      <alignment vertical="center" wrapText="1"/>
      <protection/>
    </xf>
    <xf numFmtId="177" fontId="2" fillId="0" borderId="27" xfId="66" applyNumberFormat="1" applyFont="1" applyBorder="1" applyAlignment="1">
      <alignment horizontal="right" vertical="center" wrapText="1"/>
    </xf>
    <xf numFmtId="0" fontId="18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49" applyFont="1" applyBorder="1">
      <alignment/>
      <protection/>
    </xf>
    <xf numFmtId="4" fontId="0" fillId="0" borderId="0" xfId="49" applyFont="1" applyFill="1" applyBorder="1">
      <alignment/>
      <protection/>
    </xf>
    <xf numFmtId="0" fontId="3" fillId="33" borderId="40" xfId="0" applyFont="1" applyFill="1" applyBorder="1" applyAlignment="1">
      <alignment horizontal="center" vertical="center" wrapText="1"/>
    </xf>
    <xf numFmtId="177" fontId="2" fillId="0" borderId="27" xfId="66" applyFont="1" applyBorder="1" applyAlignment="1">
      <alignment vertical="center" wrapText="1"/>
    </xf>
    <xf numFmtId="177" fontId="2" fillId="37" borderId="27" xfId="66" applyFont="1" applyFill="1" applyBorder="1" applyAlignment="1">
      <alignment vertical="center" wrapText="1"/>
    </xf>
    <xf numFmtId="177" fontId="0" fillId="35" borderId="27" xfId="66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 wrapText="1"/>
    </xf>
    <xf numFmtId="0" fontId="19" fillId="35" borderId="0" xfId="50" applyFont="1" applyFill="1" applyBorder="1" applyAlignment="1">
      <alignment wrapText="1"/>
      <protection/>
    </xf>
    <xf numFmtId="0" fontId="10" fillId="39" borderId="27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4" fontId="0" fillId="39" borderId="27" xfId="0" applyNumberFormat="1" applyFont="1" applyFill="1" applyBorder="1" applyAlignment="1">
      <alignment horizontal="right" vertical="center" wrapText="1"/>
    </xf>
    <xf numFmtId="177" fontId="2" fillId="39" borderId="27" xfId="57" applyNumberFormat="1" applyFont="1" applyFill="1" applyBorder="1" applyAlignment="1">
      <alignment vertical="center" wrapText="1"/>
    </xf>
    <xf numFmtId="0" fontId="0" fillId="39" borderId="0" xfId="0" applyFont="1" applyFill="1" applyAlignment="1">
      <alignment vertical="center" wrapText="1"/>
    </xf>
    <xf numFmtId="0" fontId="0" fillId="39" borderId="27" xfId="0" applyFont="1" applyFill="1" applyBorder="1" applyAlignment="1">
      <alignment horizontal="center" vertical="center" wrapText="1"/>
    </xf>
    <xf numFmtId="177" fontId="2" fillId="39" borderId="27" xfId="66" applyFont="1" applyFill="1" applyBorder="1" applyAlignment="1">
      <alignment vertical="center" wrapText="1"/>
    </xf>
    <xf numFmtId="0" fontId="0" fillId="39" borderId="27" xfId="0" applyFont="1" applyFill="1" applyBorder="1" applyAlignment="1">
      <alignment horizontal="center" vertical="center"/>
    </xf>
    <xf numFmtId="177" fontId="2" fillId="39" borderId="27" xfId="57" applyNumberFormat="1" applyFont="1" applyFill="1" applyBorder="1" applyAlignment="1">
      <alignment vertical="center"/>
    </xf>
    <xf numFmtId="0" fontId="0" fillId="39" borderId="27" xfId="51" applyFont="1" applyFill="1" applyBorder="1" applyAlignment="1">
      <alignment horizontal="center" vertical="center"/>
      <protection/>
    </xf>
    <xf numFmtId="0" fontId="2" fillId="39" borderId="27" xfId="51" applyFont="1" applyFill="1" applyBorder="1" applyAlignment="1">
      <alignment horizontal="center" vertical="center" wrapText="1"/>
      <protection/>
    </xf>
    <xf numFmtId="177" fontId="2" fillId="39" borderId="27" xfId="66" applyNumberFormat="1" applyFont="1" applyFill="1" applyBorder="1" applyAlignment="1">
      <alignment horizontal="right" vertical="center"/>
    </xf>
    <xf numFmtId="0" fontId="6" fillId="39" borderId="0" xfId="50" applyFont="1" applyFill="1">
      <alignment/>
      <protection/>
    </xf>
    <xf numFmtId="177" fontId="0" fillId="39" borderId="27" xfId="66" applyNumberFormat="1" applyFont="1" applyFill="1" applyBorder="1" applyAlignment="1">
      <alignment horizontal="right" vertical="center"/>
    </xf>
    <xf numFmtId="4" fontId="0" fillId="39" borderId="0" xfId="0" applyNumberFormat="1" applyFont="1" applyFill="1" applyAlignment="1">
      <alignment vertical="center" wrapText="1"/>
    </xf>
    <xf numFmtId="177" fontId="0" fillId="39" borderId="40" xfId="57" applyNumberFormat="1" applyFont="1" applyFill="1" applyBorder="1" applyAlignment="1">
      <alignment horizontal="right" vertical="center" wrapText="1"/>
    </xf>
    <xf numFmtId="177" fontId="11" fillId="0" borderId="0" xfId="66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4" fontId="19" fillId="0" borderId="0" xfId="50" applyNumberFormat="1" applyFont="1" applyAlignment="1">
      <alignment wrapText="1"/>
      <protection/>
    </xf>
    <xf numFmtId="4" fontId="11" fillId="0" borderId="0" xfId="0" applyNumberFormat="1" applyFont="1" applyAlignment="1">
      <alignment vertical="center" wrapText="1"/>
    </xf>
    <xf numFmtId="177" fontId="26" fillId="0" borderId="0" xfId="50" applyNumberFormat="1" applyFont="1" applyAlignment="1">
      <alignment wrapText="1"/>
      <protection/>
    </xf>
    <xf numFmtId="177" fontId="12" fillId="0" borderId="0" xfId="66" applyFont="1" applyAlignment="1">
      <alignment vertical="center"/>
    </xf>
    <xf numFmtId="0" fontId="3" fillId="35" borderId="0" xfId="0" applyFont="1" applyFill="1" applyBorder="1" applyAlignment="1">
      <alignment horizontal="center" vertical="center" wrapText="1"/>
    </xf>
    <xf numFmtId="176" fontId="2" fillId="0" borderId="27" xfId="46" applyFont="1" applyFill="1" applyBorder="1" applyAlignment="1">
      <alignment horizontal="center" vertical="center" wrapText="1"/>
    </xf>
    <xf numFmtId="2" fontId="0" fillId="0" borderId="27" xfId="66" applyNumberFormat="1" applyFont="1" applyBorder="1" applyAlignment="1">
      <alignment horizontal="center" vertical="center" wrapText="1"/>
    </xf>
    <xf numFmtId="2" fontId="87" fillId="34" borderId="27" xfId="66" applyNumberFormat="1" applyFont="1" applyFill="1" applyBorder="1" applyAlignment="1">
      <alignment horizontal="center" vertical="center" wrapText="1"/>
    </xf>
    <xf numFmtId="2" fontId="3" fillId="33" borderId="40" xfId="66" applyNumberFormat="1" applyFont="1" applyFill="1" applyBorder="1" applyAlignment="1">
      <alignment horizontal="center" vertical="center" wrapText="1"/>
    </xf>
    <xf numFmtId="2" fontId="10" fillId="0" borderId="27" xfId="66" applyNumberFormat="1" applyFont="1" applyBorder="1" applyAlignment="1">
      <alignment horizontal="center" vertical="center" wrapText="1"/>
    </xf>
    <xf numFmtId="2" fontId="10" fillId="39" borderId="27" xfId="66" applyNumberFormat="1" applyFont="1" applyFill="1" applyBorder="1" applyAlignment="1">
      <alignment horizontal="center" vertical="center" wrapText="1"/>
    </xf>
    <xf numFmtId="2" fontId="0" fillId="37" borderId="27" xfId="66" applyNumberFormat="1" applyFont="1" applyFill="1" applyBorder="1" applyAlignment="1">
      <alignment horizontal="center" vertical="center" wrapText="1"/>
    </xf>
    <xf numFmtId="2" fontId="0" fillId="39" borderId="27" xfId="66" applyNumberFormat="1" applyFont="1" applyFill="1" applyBorder="1" applyAlignment="1">
      <alignment horizontal="center" vertical="center" wrapText="1"/>
    </xf>
    <xf numFmtId="2" fontId="0" fillId="0" borderId="27" xfId="66" applyNumberFormat="1" applyFont="1" applyFill="1" applyBorder="1" applyAlignment="1">
      <alignment horizontal="center" vertical="center" wrapText="1"/>
    </xf>
    <xf numFmtId="2" fontId="0" fillId="35" borderId="27" xfId="66" applyNumberFormat="1" applyFont="1" applyFill="1" applyBorder="1" applyAlignment="1">
      <alignment horizontal="center" vertical="center" wrapText="1"/>
    </xf>
    <xf numFmtId="2" fontId="0" fillId="0" borderId="27" xfId="66" applyNumberFormat="1" applyFont="1" applyBorder="1" applyAlignment="1">
      <alignment horizontal="center" vertical="center"/>
    </xf>
    <xf numFmtId="2" fontId="0" fillId="39" borderId="27" xfId="66" applyNumberFormat="1" applyFont="1" applyFill="1" applyBorder="1" applyAlignment="1">
      <alignment horizontal="center" vertical="center"/>
    </xf>
    <xf numFmtId="2" fontId="0" fillId="0" borderId="27" xfId="66" applyNumberFormat="1" applyFont="1" applyFill="1" applyBorder="1" applyAlignment="1">
      <alignment horizontal="center" vertical="center"/>
    </xf>
    <xf numFmtId="2" fontId="7" fillId="0" borderId="27" xfId="66" applyNumberFormat="1" applyFont="1" applyBorder="1" applyAlignment="1">
      <alignment horizontal="center" vertical="center"/>
    </xf>
    <xf numFmtId="2" fontId="2" fillId="0" borderId="27" xfId="46" applyNumberFormat="1" applyFont="1" applyFill="1" applyBorder="1" applyAlignment="1">
      <alignment horizontal="center" vertical="center" wrapText="1"/>
    </xf>
    <xf numFmtId="2" fontId="2" fillId="0" borderId="27" xfId="66" applyNumberFormat="1" applyFont="1" applyFill="1" applyBorder="1" applyAlignment="1">
      <alignment horizontal="center" vertical="center" wrapText="1"/>
    </xf>
    <xf numFmtId="2" fontId="11" fillId="0" borderId="0" xfId="66" applyNumberFormat="1" applyFont="1" applyAlignment="1">
      <alignment horizontal="center" vertical="center" wrapText="1"/>
    </xf>
    <xf numFmtId="2" fontId="88" fillId="0" borderId="0" xfId="66" applyNumberFormat="1" applyFont="1" applyAlignment="1">
      <alignment horizontal="center" vertical="center" wrapText="1"/>
    </xf>
    <xf numFmtId="2" fontId="11" fillId="0" borderId="0" xfId="66" applyNumberFormat="1" applyFont="1" applyAlignment="1">
      <alignment horizontal="center" vertical="center" wrapText="1"/>
    </xf>
    <xf numFmtId="2" fontId="11" fillId="0" borderId="0" xfId="66" applyNumberFormat="1" applyFont="1" applyAlignment="1">
      <alignment horizontal="center" vertical="center"/>
    </xf>
    <xf numFmtId="2" fontId="0" fillId="0" borderId="0" xfId="66" applyNumberFormat="1" applyAlignment="1">
      <alignment horizontal="center" vertical="center"/>
    </xf>
    <xf numFmtId="176" fontId="3" fillId="35" borderId="0" xfId="46" applyFont="1" applyFill="1" applyBorder="1" applyAlignment="1">
      <alignment horizontal="center" vertical="center" wrapText="1"/>
    </xf>
    <xf numFmtId="176" fontId="3" fillId="33" borderId="40" xfId="46" applyFont="1" applyFill="1" applyBorder="1" applyAlignment="1">
      <alignment horizontal="center" vertical="center" wrapText="1"/>
    </xf>
    <xf numFmtId="176" fontId="3" fillId="37" borderId="40" xfId="46" applyFont="1" applyFill="1" applyBorder="1" applyAlignment="1">
      <alignment horizontal="center" vertical="center" wrapText="1"/>
    </xf>
    <xf numFmtId="176" fontId="10" fillId="0" borderId="27" xfId="46" applyFont="1" applyBorder="1" applyAlignment="1">
      <alignment horizontal="center" vertical="center" wrapText="1"/>
    </xf>
    <xf numFmtId="176" fontId="10" fillId="35" borderId="27" xfId="46" applyFont="1" applyFill="1" applyBorder="1" applyAlignment="1">
      <alignment horizontal="center" vertical="center" wrapText="1"/>
    </xf>
    <xf numFmtId="176" fontId="10" fillId="0" borderId="26" xfId="46" applyFont="1" applyBorder="1" applyAlignment="1">
      <alignment horizontal="center" vertical="center" wrapText="1"/>
    </xf>
    <xf numFmtId="176" fontId="0" fillId="0" borderId="27" xfId="46" applyFont="1" applyBorder="1" applyAlignment="1">
      <alignment horizontal="center" vertical="center" wrapText="1"/>
    </xf>
    <xf numFmtId="176" fontId="0" fillId="37" borderId="27" xfId="46" applyFont="1" applyFill="1" applyBorder="1" applyAlignment="1">
      <alignment horizontal="center" vertical="center" wrapText="1"/>
    </xf>
    <xf numFmtId="176" fontId="0" fillId="35" borderId="45" xfId="46" applyFont="1" applyFill="1" applyBorder="1" applyAlignment="1">
      <alignment horizontal="center" vertical="center" wrapText="1"/>
    </xf>
    <xf numFmtId="176" fontId="0" fillId="33" borderId="27" xfId="46" applyFont="1" applyFill="1" applyBorder="1" applyAlignment="1">
      <alignment horizontal="center" vertical="center" wrapText="1"/>
    </xf>
    <xf numFmtId="176" fontId="0" fillId="39" borderId="27" xfId="46" applyFont="1" applyFill="1" applyBorder="1" applyAlignment="1">
      <alignment horizontal="center" vertical="center" wrapText="1"/>
    </xf>
    <xf numFmtId="176" fontId="10" fillId="39" borderId="45" xfId="46" applyFont="1" applyFill="1" applyBorder="1" applyAlignment="1">
      <alignment horizontal="center" vertical="center" wrapText="1"/>
    </xf>
    <xf numFmtId="176" fontId="10" fillId="39" borderId="27" xfId="46" applyFont="1" applyFill="1" applyBorder="1" applyAlignment="1">
      <alignment horizontal="center" vertical="center" wrapText="1"/>
    </xf>
    <xf numFmtId="176" fontId="0" fillId="37" borderId="45" xfId="46" applyFont="1" applyFill="1" applyBorder="1" applyAlignment="1">
      <alignment horizontal="center" vertical="center" wrapText="1"/>
    </xf>
    <xf numFmtId="176" fontId="2" fillId="37" borderId="27" xfId="46" applyFont="1" applyFill="1" applyBorder="1" applyAlignment="1">
      <alignment horizontal="center" vertical="center" wrapText="1"/>
    </xf>
    <xf numFmtId="176" fontId="0" fillId="36" borderId="27" xfId="46" applyFont="1" applyFill="1" applyBorder="1" applyAlignment="1">
      <alignment horizontal="center" vertical="center" wrapText="1"/>
    </xf>
    <xf numFmtId="176" fontId="10" fillId="35" borderId="45" xfId="46" applyFont="1" applyFill="1" applyBorder="1" applyAlignment="1">
      <alignment horizontal="center" vertical="center" wrapText="1"/>
    </xf>
    <xf numFmtId="176" fontId="0" fillId="39" borderId="45" xfId="46" applyFont="1" applyFill="1" applyBorder="1" applyAlignment="1">
      <alignment horizontal="center" vertical="center" wrapText="1"/>
    </xf>
    <xf numFmtId="176" fontId="0" fillId="35" borderId="27" xfId="46" applyFont="1" applyFill="1" applyBorder="1" applyAlignment="1">
      <alignment horizontal="center" vertical="center" wrapText="1"/>
    </xf>
    <xf numFmtId="176" fontId="0" fillId="0" borderId="27" xfId="46" applyFont="1" applyBorder="1" applyAlignment="1">
      <alignment horizontal="center" vertical="center"/>
    </xf>
    <xf numFmtId="176" fontId="0" fillId="35" borderId="27" xfId="46" applyFont="1" applyFill="1" applyBorder="1" applyAlignment="1">
      <alignment horizontal="center" vertical="center"/>
    </xf>
    <xf numFmtId="176" fontId="0" fillId="39" borderId="27" xfId="46" applyFont="1" applyFill="1" applyBorder="1" applyAlignment="1">
      <alignment horizontal="center" vertical="center"/>
    </xf>
    <xf numFmtId="176" fontId="0" fillId="0" borderId="27" xfId="46" applyFont="1" applyFill="1" applyBorder="1" applyAlignment="1">
      <alignment horizontal="center" vertical="center" wrapText="1"/>
    </xf>
    <xf numFmtId="176" fontId="6" fillId="0" borderId="27" xfId="46" applyFont="1" applyBorder="1" applyAlignment="1">
      <alignment horizontal="center" vertical="center"/>
    </xf>
    <xf numFmtId="176" fontId="6" fillId="39" borderId="27" xfId="46" applyFont="1" applyFill="1" applyBorder="1" applyAlignment="1">
      <alignment horizontal="center" vertical="center"/>
    </xf>
    <xf numFmtId="176" fontId="6" fillId="0" borderId="27" xfId="46" applyFont="1" applyFill="1" applyBorder="1" applyAlignment="1">
      <alignment horizontal="center" vertical="center"/>
    </xf>
    <xf numFmtId="176" fontId="2" fillId="39" borderId="27" xfId="46" applyFont="1" applyFill="1" applyBorder="1" applyAlignment="1">
      <alignment horizontal="center" vertical="center"/>
    </xf>
    <xf numFmtId="176" fontId="2" fillId="0" borderId="27" xfId="46" applyFont="1" applyBorder="1" applyAlignment="1">
      <alignment horizontal="center" vertical="center"/>
    </xf>
    <xf numFmtId="176" fontId="0" fillId="0" borderId="27" xfId="46" applyFont="1" applyFill="1" applyBorder="1" applyAlignment="1">
      <alignment horizontal="center" vertical="center"/>
    </xf>
    <xf numFmtId="176" fontId="2" fillId="35" borderId="27" xfId="46" applyFont="1" applyFill="1" applyBorder="1" applyAlignment="1">
      <alignment horizontal="center" vertical="center" wrapText="1"/>
    </xf>
    <xf numFmtId="176" fontId="0" fillId="39" borderId="40" xfId="46" applyFont="1" applyFill="1" applyBorder="1" applyAlignment="1">
      <alignment horizontal="center" vertical="center" wrapText="1"/>
    </xf>
    <xf numFmtId="176" fontId="21" fillId="0" borderId="27" xfId="46" applyFont="1" applyFill="1" applyBorder="1" applyAlignment="1">
      <alignment horizontal="center" vertical="center" wrapText="1"/>
    </xf>
    <xf numFmtId="176" fontId="11" fillId="0" borderId="0" xfId="46" applyFont="1" applyAlignment="1">
      <alignment horizontal="center" vertical="center" wrapText="1"/>
    </xf>
    <xf numFmtId="176" fontId="11" fillId="35" borderId="0" xfId="46" applyFont="1" applyFill="1" applyAlignment="1">
      <alignment horizontal="center" vertical="center" wrapText="1"/>
    </xf>
    <xf numFmtId="176" fontId="88" fillId="0" borderId="0" xfId="46" applyFont="1" applyAlignment="1">
      <alignment horizontal="center" vertical="center" wrapText="1"/>
    </xf>
    <xf numFmtId="176" fontId="88" fillId="35" borderId="0" xfId="46" applyFont="1" applyFill="1" applyAlignment="1">
      <alignment horizontal="center" vertical="center" wrapText="1"/>
    </xf>
    <xf numFmtId="176" fontId="11" fillId="0" borderId="0" xfId="46" applyFont="1" applyAlignment="1">
      <alignment horizontal="center" vertical="center"/>
    </xf>
    <xf numFmtId="176" fontId="11" fillId="35" borderId="0" xfId="46" applyFont="1" applyFill="1" applyAlignment="1">
      <alignment horizontal="center" vertical="center"/>
    </xf>
    <xf numFmtId="176" fontId="0" fillId="0" borderId="0" xfId="46" applyFont="1" applyAlignment="1">
      <alignment horizontal="center" vertical="center"/>
    </xf>
    <xf numFmtId="176" fontId="0" fillId="35" borderId="0" xfId="46" applyFont="1" applyFill="1" applyAlignment="1">
      <alignment horizontal="center" vertical="center"/>
    </xf>
    <xf numFmtId="4" fontId="0" fillId="39" borderId="27" xfId="51" applyNumberFormat="1" applyFont="1" applyFill="1" applyBorder="1" applyAlignment="1">
      <alignment horizontal="center" vertical="center"/>
      <protection/>
    </xf>
    <xf numFmtId="9" fontId="2" fillId="0" borderId="27" xfId="57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35" borderId="27" xfId="66" applyFont="1" applyFill="1" applyBorder="1" applyAlignment="1">
      <alignment vertical="center" wrapText="1"/>
    </xf>
    <xf numFmtId="2" fontId="11" fillId="0" borderId="0" xfId="46" applyNumberFormat="1" applyFont="1" applyAlignment="1">
      <alignment horizontal="center" vertical="center" wrapText="1"/>
    </xf>
    <xf numFmtId="43" fontId="11" fillId="0" borderId="0" xfId="0" applyNumberFormat="1" applyFont="1" applyAlignment="1">
      <alignment vertical="center" wrapText="1"/>
    </xf>
    <xf numFmtId="177" fontId="0" fillId="0" borderId="27" xfId="66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6" fontId="2" fillId="0" borderId="27" xfId="46" applyFont="1" applyFill="1" applyBorder="1" applyAlignment="1">
      <alignment vertical="center" wrapText="1"/>
    </xf>
    <xf numFmtId="177" fontId="89" fillId="0" borderId="0" xfId="0" applyNumberFormat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10" fontId="27" fillId="0" borderId="0" xfId="53" applyNumberFormat="1" applyFont="1" applyAlignment="1">
      <alignment horizontal="center" vertical="center" wrapText="1"/>
    </xf>
    <xf numFmtId="176" fontId="90" fillId="40" borderId="27" xfId="46" applyFont="1" applyFill="1" applyBorder="1" applyAlignment="1">
      <alignment horizontal="center" vertical="center" wrapText="1"/>
    </xf>
    <xf numFmtId="177" fontId="2" fillId="0" borderId="25" xfId="57" applyNumberFormat="1" applyFont="1" applyFill="1" applyBorder="1" applyAlignment="1">
      <alignment horizontal="right" vertical="center" wrapText="1"/>
    </xf>
    <xf numFmtId="177" fontId="2" fillId="0" borderId="46" xfId="57" applyNumberFormat="1" applyFont="1" applyFill="1" applyBorder="1" applyAlignment="1">
      <alignment horizontal="right" vertical="center" wrapText="1"/>
    </xf>
    <xf numFmtId="177" fontId="2" fillId="0" borderId="45" xfId="57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vertical="center" wrapText="1"/>
    </xf>
    <xf numFmtId="43" fontId="0" fillId="39" borderId="0" xfId="0" applyNumberFormat="1" applyFont="1" applyFill="1" applyAlignment="1">
      <alignment/>
    </xf>
    <xf numFmtId="188" fontId="91" fillId="0" borderId="0" xfId="53" applyNumberFormat="1" applyFont="1" applyFill="1" applyBorder="1" applyAlignment="1">
      <alignment/>
    </xf>
    <xf numFmtId="0" fontId="92" fillId="0" borderId="0" xfId="0" applyFont="1" applyBorder="1" applyAlignment="1">
      <alignment horizontal="center" vertical="center"/>
    </xf>
    <xf numFmtId="10" fontId="87" fillId="34" borderId="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7" fontId="2" fillId="0" borderId="0" xfId="57" applyNumberFormat="1" applyFont="1" applyBorder="1" applyAlignment="1">
      <alignment vertical="center" wrapText="1"/>
    </xf>
    <xf numFmtId="177" fontId="2" fillId="39" borderId="0" xfId="66" applyFont="1" applyFill="1" applyBorder="1" applyAlignment="1">
      <alignment vertical="center" wrapText="1"/>
    </xf>
    <xf numFmtId="177" fontId="2" fillId="37" borderId="0" xfId="57" applyNumberFormat="1" applyFont="1" applyFill="1" applyBorder="1" applyAlignment="1">
      <alignment vertical="center" wrapText="1"/>
    </xf>
    <xf numFmtId="177" fontId="2" fillId="0" borderId="0" xfId="57" applyNumberFormat="1" applyFont="1" applyFill="1" applyBorder="1" applyAlignment="1">
      <alignment vertical="center" wrapText="1"/>
    </xf>
    <xf numFmtId="177" fontId="0" fillId="0" borderId="0" xfId="57" applyNumberFormat="1" applyFont="1" applyBorder="1" applyAlignment="1">
      <alignment vertical="center" wrapText="1"/>
    </xf>
    <xf numFmtId="177" fontId="0" fillId="35" borderId="0" xfId="66" applyFont="1" applyFill="1" applyBorder="1" applyAlignment="1">
      <alignment vertical="center" wrapText="1"/>
    </xf>
    <xf numFmtId="177" fontId="2" fillId="35" borderId="0" xfId="66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horizontal="right" vertical="center" wrapText="1"/>
    </xf>
    <xf numFmtId="177" fontId="2" fillId="0" borderId="0" xfId="66" applyFont="1" applyBorder="1" applyAlignment="1">
      <alignment vertical="center" wrapText="1"/>
    </xf>
    <xf numFmtId="177" fontId="2" fillId="37" borderId="0" xfId="66" applyFont="1" applyFill="1" applyBorder="1" applyAlignment="1">
      <alignment vertical="center" wrapText="1"/>
    </xf>
    <xf numFmtId="177" fontId="2" fillId="35" borderId="0" xfId="57" applyNumberFormat="1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177" fontId="2" fillId="39" borderId="0" xfId="57" applyNumberFormat="1" applyFont="1" applyFill="1" applyBorder="1" applyAlignment="1">
      <alignment vertical="center" wrapText="1"/>
    </xf>
    <xf numFmtId="177" fontId="2" fillId="39" borderId="0" xfId="57" applyNumberFormat="1" applyFont="1" applyFill="1" applyBorder="1" applyAlignment="1">
      <alignment vertical="center"/>
    </xf>
    <xf numFmtId="177" fontId="0" fillId="0" borderId="0" xfId="57" applyNumberFormat="1" applyFont="1" applyBorder="1" applyAlignment="1">
      <alignment vertical="center"/>
    </xf>
    <xf numFmtId="177" fontId="0" fillId="34" borderId="0" xfId="57" applyNumberFormat="1" applyFont="1" applyFill="1" applyBorder="1" applyAlignment="1">
      <alignment vertical="center" wrapText="1"/>
    </xf>
    <xf numFmtId="177" fontId="0" fillId="35" borderId="0" xfId="57" applyNumberFormat="1" applyFont="1" applyFill="1" applyBorder="1" applyAlignment="1">
      <alignment vertical="center" wrapText="1"/>
    </xf>
    <xf numFmtId="177" fontId="7" fillId="0" borderId="0" xfId="66" applyNumberFormat="1" applyFont="1" applyBorder="1" applyAlignment="1">
      <alignment horizontal="right" vertical="center"/>
    </xf>
    <xf numFmtId="177" fontId="2" fillId="39" borderId="0" xfId="66" applyNumberFormat="1" applyFont="1" applyFill="1" applyBorder="1" applyAlignment="1">
      <alignment horizontal="right" vertical="center"/>
    </xf>
    <xf numFmtId="177" fontId="6" fillId="0" borderId="0" xfId="66" applyNumberFormat="1" applyFont="1" applyBorder="1" applyAlignment="1">
      <alignment horizontal="right" vertical="center"/>
    </xf>
    <xf numFmtId="177" fontId="6" fillId="0" borderId="0" xfId="66" applyNumberFormat="1" applyFont="1" applyBorder="1" applyAlignment="1">
      <alignment horizontal="right" vertical="center" wrapText="1"/>
    </xf>
    <xf numFmtId="177" fontId="2" fillId="0" borderId="0" xfId="66" applyNumberFormat="1" applyFont="1" applyBorder="1" applyAlignment="1">
      <alignment horizontal="right" vertical="center"/>
    </xf>
    <xf numFmtId="177" fontId="2" fillId="0" borderId="0" xfId="66" applyNumberFormat="1" applyFont="1" applyBorder="1" applyAlignment="1">
      <alignment horizontal="right" vertical="center" wrapText="1"/>
    </xf>
    <xf numFmtId="176" fontId="2" fillId="0" borderId="0" xfId="46" applyFont="1" applyFill="1" applyBorder="1" applyAlignment="1">
      <alignment horizontal="center" vertical="center" wrapText="1"/>
    </xf>
    <xf numFmtId="176" fontId="2" fillId="0" borderId="0" xfId="46" applyFont="1" applyFill="1" applyBorder="1" applyAlignment="1">
      <alignment vertical="center" wrapText="1"/>
    </xf>
    <xf numFmtId="176" fontId="90" fillId="40" borderId="0" xfId="46" applyFont="1" applyFill="1" applyBorder="1" applyAlignment="1">
      <alignment horizontal="center" vertical="center" wrapText="1"/>
    </xf>
    <xf numFmtId="43" fontId="11" fillId="0" borderId="0" xfId="0" applyNumberFormat="1" applyFont="1" applyAlignment="1">
      <alignment vertical="center" wrapText="1"/>
    </xf>
    <xf numFmtId="43" fontId="0" fillId="0" borderId="0" xfId="0" applyNumberFormat="1" applyFont="1" applyFill="1" applyBorder="1" applyAlignment="1">
      <alignment horizontal="right" vertical="center" wrapText="1"/>
    </xf>
    <xf numFmtId="0" fontId="28" fillId="35" borderId="0" xfId="0" applyFont="1" applyFill="1" applyAlignment="1">
      <alignment horizontal="left" vertical="center" wrapText="1"/>
    </xf>
    <xf numFmtId="43" fontId="0" fillId="35" borderId="0" xfId="0" applyNumberFormat="1" applyFont="1" applyFill="1" applyAlignment="1">
      <alignment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9" fillId="0" borderId="46" xfId="0" applyFont="1" applyFill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Alignment="1">
      <alignment vertical="center"/>
    </xf>
    <xf numFmtId="0" fontId="32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center"/>
      <protection hidden="1"/>
    </xf>
    <xf numFmtId="0" fontId="29" fillId="0" borderId="47" xfId="0" applyFont="1" applyBorder="1" applyAlignment="1">
      <alignment vertical="center" wrapText="1"/>
    </xf>
    <xf numFmtId="2" fontId="29" fillId="0" borderId="40" xfId="0" applyNumberFormat="1" applyFont="1" applyBorder="1" applyAlignment="1" applyProtection="1">
      <alignment horizontal="center" vertical="center" wrapText="1"/>
      <protection hidden="1"/>
    </xf>
    <xf numFmtId="2" fontId="29" fillId="41" borderId="48" xfId="0" applyNumberFormat="1" applyFont="1" applyFill="1" applyBorder="1" applyAlignment="1" applyProtection="1" quotePrefix="1">
      <alignment horizontal="center" vertical="center" wrapText="1"/>
      <protection locked="0"/>
    </xf>
    <xf numFmtId="2" fontId="29" fillId="41" borderId="0" xfId="0" applyNumberFormat="1" applyFont="1" applyFill="1" applyBorder="1" applyAlignment="1" applyProtection="1" quotePrefix="1">
      <alignment vertical="center" wrapText="1"/>
      <protection hidden="1"/>
    </xf>
    <xf numFmtId="0" fontId="29" fillId="0" borderId="47" xfId="0" applyFont="1" applyBorder="1" applyAlignment="1">
      <alignment horizontal="left" vertical="center" wrapText="1"/>
    </xf>
    <xf numFmtId="2" fontId="29" fillId="41" borderId="49" xfId="0" applyNumberFormat="1" applyFont="1" applyFill="1" applyBorder="1" applyAlignment="1" applyProtection="1">
      <alignment horizontal="center" vertical="center" wrapText="1"/>
      <protection locked="0"/>
    </xf>
    <xf numFmtId="2" fontId="29" fillId="41" borderId="0" xfId="0" applyNumberFormat="1" applyFont="1" applyFill="1" applyBorder="1" applyAlignment="1" applyProtection="1">
      <alignment vertical="center" wrapText="1"/>
      <protection hidden="1"/>
    </xf>
    <xf numFmtId="0" fontId="33" fillId="42" borderId="0" xfId="0" applyFont="1" applyFill="1" applyBorder="1" applyAlignment="1" applyProtection="1">
      <alignment vertical="center"/>
      <protection hidden="1"/>
    </xf>
    <xf numFmtId="0" fontId="33" fillId="42" borderId="0" xfId="0" applyFont="1" applyFill="1" applyAlignment="1" applyProtection="1">
      <alignment vertical="center" wrapText="1"/>
      <protection hidden="1"/>
    </xf>
    <xf numFmtId="2" fontId="29" fillId="0" borderId="50" xfId="0" applyNumberFormat="1" applyFont="1" applyBorder="1" applyAlignment="1" applyProtection="1">
      <alignment horizontal="center" vertical="center" wrapText="1"/>
      <protection hidden="1"/>
    </xf>
    <xf numFmtId="2" fontId="29" fillId="0" borderId="51" xfId="0" applyNumberFormat="1" applyFont="1" applyFill="1" applyBorder="1" applyAlignment="1" applyProtection="1">
      <alignment horizontal="center" vertical="center" wrapText="1"/>
      <protection/>
    </xf>
    <xf numFmtId="0" fontId="13" fillId="0" borderId="52" xfId="0" applyFont="1" applyBorder="1" applyAlignment="1">
      <alignment vertical="center" wrapText="1"/>
    </xf>
    <xf numFmtId="2" fontId="13" fillId="0" borderId="53" xfId="0" applyNumberFormat="1" applyFont="1" applyBorder="1" applyAlignment="1" applyProtection="1">
      <alignment horizontal="center" vertical="center" wrapText="1"/>
      <protection hidden="1"/>
    </xf>
    <xf numFmtId="2" fontId="13" fillId="0" borderId="54" xfId="0" applyNumberFormat="1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2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2" fontId="29" fillId="0" borderId="39" xfId="0" applyNumberFormat="1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2" fillId="0" borderId="0" xfId="0" applyFont="1" applyAlignment="1">
      <alignment horizontal="right" vertical="center"/>
    </xf>
    <xf numFmtId="2" fontId="32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 horizontal="left" vertical="center"/>
    </xf>
    <xf numFmtId="0" fontId="40" fillId="35" borderId="0" xfId="0" applyFont="1" applyFill="1" applyAlignment="1" applyProtection="1">
      <alignment horizontal="left"/>
      <protection locked="0"/>
    </xf>
    <xf numFmtId="0" fontId="40" fillId="0" borderId="55" xfId="0" applyFont="1" applyBorder="1" applyAlignment="1">
      <alignment horizontal="left" vertical="center"/>
    </xf>
    <xf numFmtId="0" fontId="33" fillId="42" borderId="0" xfId="0" applyFont="1" applyFill="1" applyAlignment="1">
      <alignment vertical="center"/>
    </xf>
    <xf numFmtId="0" fontId="33" fillId="42" borderId="0" xfId="0" applyFont="1" applyFill="1" applyAlignment="1">
      <alignment vertical="center" wrapText="1"/>
    </xf>
    <xf numFmtId="0" fontId="33" fillId="42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2" fillId="4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2" fontId="29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2" fontId="13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justify" vertical="center"/>
    </xf>
    <xf numFmtId="43" fontId="2" fillId="0" borderId="0" xfId="0" applyNumberFormat="1" applyFont="1" applyAlignment="1">
      <alignment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/>
    </xf>
    <xf numFmtId="4" fontId="87" fillId="34" borderId="25" xfId="0" applyNumberFormat="1" applyFont="1" applyFill="1" applyBorder="1" applyAlignment="1">
      <alignment horizontal="left" vertical="center" wrapText="1"/>
    </xf>
    <xf numFmtId="4" fontId="87" fillId="34" borderId="46" xfId="0" applyNumberFormat="1" applyFont="1" applyFill="1" applyBorder="1" applyAlignment="1">
      <alignment horizontal="left" vertical="center" wrapText="1"/>
    </xf>
    <xf numFmtId="4" fontId="87" fillId="34" borderId="45" xfId="0" applyNumberFormat="1" applyFont="1" applyFill="1" applyBorder="1" applyAlignment="1">
      <alignment horizontal="left" vertical="center" wrapText="1"/>
    </xf>
    <xf numFmtId="176" fontId="87" fillId="34" borderId="25" xfId="46" applyFont="1" applyFill="1" applyBorder="1" applyAlignment="1">
      <alignment horizontal="center" vertical="center" wrapText="1"/>
    </xf>
    <xf numFmtId="176" fontId="87" fillId="34" borderId="46" xfId="46" applyFont="1" applyFill="1" applyBorder="1" applyAlignment="1">
      <alignment horizontal="center" vertical="center" wrapText="1"/>
    </xf>
    <xf numFmtId="176" fontId="87" fillId="34" borderId="45" xfId="46" applyFont="1" applyFill="1" applyBorder="1" applyAlignment="1">
      <alignment horizontal="center" vertical="center" wrapText="1"/>
    </xf>
    <xf numFmtId="4" fontId="24" fillId="34" borderId="27" xfId="0" applyNumberFormat="1" applyFont="1" applyFill="1" applyBorder="1" applyAlignment="1">
      <alignment horizontal="center" vertical="center" wrapText="1"/>
    </xf>
    <xf numFmtId="4" fontId="23" fillId="34" borderId="27" xfId="0" applyNumberFormat="1" applyFont="1" applyFill="1" applyBorder="1" applyAlignment="1">
      <alignment horizontal="center" vertical="center" wrapText="1"/>
    </xf>
    <xf numFmtId="176" fontId="24" fillId="34" borderId="27" xfId="46" applyFont="1" applyFill="1" applyBorder="1" applyAlignment="1">
      <alignment horizontal="center" vertical="center" wrapText="1"/>
    </xf>
    <xf numFmtId="176" fontId="23" fillId="34" borderId="27" xfId="46" applyFont="1" applyFill="1" applyBorder="1" applyAlignment="1">
      <alignment horizontal="center" vertical="center" wrapText="1"/>
    </xf>
    <xf numFmtId="4" fontId="0" fillId="0" borderId="56" xfId="0" applyNumberFormat="1" applyFont="1" applyBorder="1" applyAlignment="1">
      <alignment horizontal="justify" vertical="center" wrapText="1"/>
    </xf>
    <xf numFmtId="4" fontId="0" fillId="0" borderId="55" xfId="0" applyNumberFormat="1" applyFont="1" applyBorder="1" applyAlignment="1">
      <alignment horizontal="justify" vertical="center" wrapText="1"/>
    </xf>
    <xf numFmtId="4" fontId="0" fillId="0" borderId="57" xfId="0" applyNumberFormat="1" applyFont="1" applyBorder="1" applyAlignment="1">
      <alignment horizontal="justify" vertical="center" wrapText="1"/>
    </xf>
    <xf numFmtId="4" fontId="0" fillId="0" borderId="58" xfId="0" applyNumberFormat="1" applyBorder="1" applyAlignment="1">
      <alignment horizontal="justify" vertical="center" wrapText="1"/>
    </xf>
    <xf numFmtId="4" fontId="0" fillId="0" borderId="0" xfId="0" applyNumberFormat="1" applyFont="1" applyBorder="1" applyAlignment="1">
      <alignment horizontal="justify" vertical="center" wrapText="1"/>
    </xf>
    <xf numFmtId="4" fontId="0" fillId="0" borderId="59" xfId="0" applyNumberFormat="1" applyFont="1" applyBorder="1" applyAlignment="1">
      <alignment horizontal="justify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" fontId="18" fillId="0" borderId="61" xfId="49" applyFont="1" applyFill="1" applyBorder="1" applyAlignment="1">
      <alignment horizontal="center" vertical="center"/>
      <protection/>
    </xf>
    <xf numFmtId="4" fontId="18" fillId="0" borderId="62" xfId="49" applyFont="1" applyFill="1" applyBorder="1" applyAlignment="1">
      <alignment horizontal="center" vertical="center"/>
      <protection/>
    </xf>
    <xf numFmtId="4" fontId="18" fillId="0" borderId="63" xfId="49" applyFont="1" applyFill="1" applyBorder="1" applyAlignment="1">
      <alignment horizontal="center" vertical="center"/>
      <protection/>
    </xf>
    <xf numFmtId="4" fontId="18" fillId="0" borderId="64" xfId="49" applyFont="1" applyFill="1" applyBorder="1" applyAlignment="1">
      <alignment horizontal="center" vertical="center"/>
      <protection/>
    </xf>
    <xf numFmtId="4" fontId="2" fillId="0" borderId="65" xfId="0" applyNumberFormat="1" applyFont="1" applyBorder="1" applyAlignment="1">
      <alignment horizontal="justify" vertical="center" wrapText="1"/>
    </xf>
    <xf numFmtId="4" fontId="2" fillId="0" borderId="66" xfId="0" applyNumberFormat="1" applyFont="1" applyBorder="1" applyAlignment="1">
      <alignment horizontal="justify" vertical="center" wrapText="1"/>
    </xf>
    <xf numFmtId="4" fontId="2" fillId="0" borderId="22" xfId="0" applyNumberFormat="1" applyFont="1" applyBorder="1" applyAlignment="1">
      <alignment horizontal="justify" vertical="center" wrapText="1"/>
    </xf>
    <xf numFmtId="4" fontId="2" fillId="0" borderId="23" xfId="0" applyNumberFormat="1" applyFont="1" applyBorder="1" applyAlignment="1">
      <alignment horizontal="justify" vertical="center" wrapText="1"/>
    </xf>
    <xf numFmtId="0" fontId="4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41" fillId="0" borderId="55" xfId="0" applyFont="1" applyBorder="1" applyAlignment="1">
      <alignment horizontal="center" vertical="center"/>
    </xf>
    <xf numFmtId="0" fontId="33" fillId="42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2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9" fontId="29" fillId="35" borderId="46" xfId="0" applyNumberFormat="1" applyFont="1" applyFill="1" applyBorder="1" applyAlignment="1" applyProtection="1">
      <alignment horizontal="left" vertical="center" wrapText="1"/>
      <protection locked="0"/>
    </xf>
    <xf numFmtId="0" fontId="29" fillId="35" borderId="46" xfId="0" applyFont="1" applyFill="1" applyBorder="1" applyAlignment="1" applyProtection="1">
      <alignment horizontal="left" vertical="center" wrapText="1"/>
      <protection locked="0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12ETAPAS" xfId="49"/>
    <cellStyle name="Normal_203-PE-ORCA-00" xfId="50"/>
    <cellStyle name="Normal_Plan1" xfId="51"/>
    <cellStyle name="Nota" xfId="52"/>
    <cellStyle name="Percent" xfId="53"/>
    <cellStyle name="Ruim" xfId="54"/>
    <cellStyle name="Saída" xfId="55"/>
    <cellStyle name="Comma [0]" xfId="56"/>
    <cellStyle name="Separador de milhares_DLPROP 000-2005 (Const.Fórum N.Bandeirante)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2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8" name="Text Box 9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9" name="Text Box 10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10" name="Text Box 11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11" name="Text Box 12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12" name="Text Box 13"/>
        <xdr:cNvSpPr txBox="1">
          <a:spLocks noChangeArrowheads="1"/>
        </xdr:cNvSpPr>
      </xdr:nvSpPr>
      <xdr:spPr>
        <a:xfrm>
          <a:off x="13554075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2" name="Rectangle 3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3" name="Rectangle 4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4" name="Rectangle 5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5" name="Rectangle 6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6" name="Rectangle 7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7" name="Rectangle 8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8" name="Rectangle 9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28</xdr:row>
      <xdr:rowOff>114300</xdr:rowOff>
    </xdr:from>
    <xdr:to>
      <xdr:col>3</xdr:col>
      <xdr:colOff>76200</xdr:colOff>
      <xdr:row>31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8601075"/>
          <a:ext cx="2952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ta%20Adtel%202016\@Comercial\Propostas\@Editais\2019\10%20-%20Outubro\21.10%20ENAP%2013.2019%20Manut%20Uasg%20114702\Campus%20Jardim\Detalhamento%20do%20B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 sem justificativa"/>
      <sheetName val="Base dados - TCU 2622_2013"/>
    </sheetNames>
    <sheetDataSet>
      <sheetData sheetId="1">
        <row r="2">
          <cell r="A2" t="str">
            <v>SIM</v>
          </cell>
        </row>
        <row r="3">
          <cell r="A3" t="str">
            <v>NÃO</v>
          </cell>
        </row>
        <row r="7">
          <cell r="A7" t="str">
            <v>Construção de Edifícios e Reformas (Quadras, unidades habitacionais, escolas, restaurantes, etc)</v>
          </cell>
          <cell r="B7">
            <v>3</v>
          </cell>
          <cell r="C7">
            <v>4</v>
          </cell>
          <cell r="D7">
            <v>5.5</v>
          </cell>
          <cell r="E7">
            <v>0.8</v>
          </cell>
          <cell r="F7">
            <v>0.8</v>
          </cell>
          <cell r="G7">
            <v>1</v>
          </cell>
          <cell r="H7">
            <v>0.97</v>
          </cell>
          <cell r="I7">
            <v>1.27</v>
          </cell>
          <cell r="J7">
            <v>1.27</v>
          </cell>
          <cell r="K7">
            <v>0.59</v>
          </cell>
          <cell r="L7">
            <v>1.23</v>
          </cell>
          <cell r="M7">
            <v>1.39</v>
          </cell>
          <cell r="N7">
            <v>6.16</v>
          </cell>
          <cell r="O7">
            <v>7.4</v>
          </cell>
          <cell r="P7">
            <v>8.96</v>
          </cell>
          <cell r="Q7">
            <v>3</v>
          </cell>
          <cell r="R7">
            <v>0.65</v>
          </cell>
          <cell r="S7">
            <v>2</v>
          </cell>
          <cell r="T7">
            <v>3.5</v>
          </cell>
          <cell r="U7">
            <v>5</v>
          </cell>
          <cell r="V7">
            <v>2</v>
          </cell>
          <cell r="W7">
            <v>20.34</v>
          </cell>
          <cell r="X7">
            <v>22.12</v>
          </cell>
          <cell r="Y7">
            <v>25</v>
          </cell>
        </row>
        <row r="8">
          <cell r="A8" t="str">
            <v>Construção de Praças</v>
          </cell>
          <cell r="B8">
            <v>3.8</v>
          </cell>
          <cell r="C8">
            <v>4.01</v>
          </cell>
          <cell r="D8">
            <v>4.67</v>
          </cell>
          <cell r="E8">
            <v>0.32</v>
          </cell>
          <cell r="F8">
            <v>0.4</v>
          </cell>
          <cell r="G8">
            <v>0.74</v>
          </cell>
          <cell r="H8">
            <v>0.5</v>
          </cell>
          <cell r="I8">
            <v>0.56</v>
          </cell>
          <cell r="J8">
            <v>0.97</v>
          </cell>
          <cell r="K8">
            <v>1.02</v>
          </cell>
          <cell r="L8">
            <v>1.11</v>
          </cell>
          <cell r="M8">
            <v>1.21</v>
          </cell>
          <cell r="N8">
            <v>6.64</v>
          </cell>
          <cell r="O8">
            <v>7.3</v>
          </cell>
          <cell r="P8">
            <v>8.69</v>
          </cell>
          <cell r="Q8">
            <v>3</v>
          </cell>
          <cell r="R8">
            <v>0.65</v>
          </cell>
          <cell r="S8">
            <v>2</v>
          </cell>
          <cell r="T8">
            <v>3.5</v>
          </cell>
          <cell r="U8">
            <v>5</v>
          </cell>
          <cell r="V8">
            <v>2</v>
          </cell>
          <cell r="W8">
            <v>19.6</v>
          </cell>
          <cell r="X8">
            <v>20.97</v>
          </cell>
          <cell r="Y8">
            <v>24.23</v>
          </cell>
        </row>
        <row r="9">
          <cell r="A9" t="str">
            <v>Construção de Rodovias (Pavimentação Urbana)</v>
          </cell>
          <cell r="B9">
            <v>3.8</v>
          </cell>
          <cell r="C9">
            <v>4.01</v>
          </cell>
          <cell r="D9">
            <v>4.67</v>
          </cell>
          <cell r="E9">
            <v>0.32</v>
          </cell>
          <cell r="F9">
            <v>0.4</v>
          </cell>
          <cell r="G9">
            <v>0.74</v>
          </cell>
          <cell r="H9">
            <v>0.5</v>
          </cell>
          <cell r="I9">
            <v>0.56</v>
          </cell>
          <cell r="J9">
            <v>0.97</v>
          </cell>
          <cell r="K9">
            <v>1.02</v>
          </cell>
          <cell r="L9">
            <v>1.11</v>
          </cell>
          <cell r="M9">
            <v>1.21</v>
          </cell>
          <cell r="N9">
            <v>6.64</v>
          </cell>
          <cell r="O9">
            <v>7.3</v>
          </cell>
          <cell r="P9">
            <v>8.69</v>
          </cell>
          <cell r="Q9">
            <v>3</v>
          </cell>
          <cell r="R9">
            <v>0.65</v>
          </cell>
          <cell r="S9">
            <v>2</v>
          </cell>
          <cell r="T9">
            <v>3.5</v>
          </cell>
          <cell r="U9">
            <v>5</v>
          </cell>
          <cell r="V9">
            <v>2</v>
          </cell>
          <cell r="W9">
            <v>19.6</v>
          </cell>
          <cell r="X9">
            <v>20.97</v>
          </cell>
          <cell r="Y9">
            <v>24.23</v>
          </cell>
        </row>
        <row r="10">
          <cell r="A10" t="str">
            <v>Construção de Ferrovias</v>
          </cell>
          <cell r="B10">
            <v>3.8</v>
          </cell>
          <cell r="C10">
            <v>4.01</v>
          </cell>
          <cell r="D10">
            <v>4.67</v>
          </cell>
          <cell r="E10">
            <v>0.32</v>
          </cell>
          <cell r="F10">
            <v>0.4</v>
          </cell>
          <cell r="G10">
            <v>0.74</v>
          </cell>
          <cell r="H10">
            <v>0.5</v>
          </cell>
          <cell r="I10">
            <v>0.56</v>
          </cell>
          <cell r="J10">
            <v>0.97</v>
          </cell>
          <cell r="K10">
            <v>1.02</v>
          </cell>
          <cell r="L10">
            <v>1.11</v>
          </cell>
          <cell r="M10">
            <v>1.21</v>
          </cell>
          <cell r="N10">
            <v>6.64</v>
          </cell>
          <cell r="O10">
            <v>7.3</v>
          </cell>
          <cell r="P10">
            <v>8.69</v>
          </cell>
          <cell r="Q10">
            <v>3</v>
          </cell>
          <cell r="R10">
            <v>0.65</v>
          </cell>
          <cell r="S10">
            <v>2</v>
          </cell>
          <cell r="T10">
            <v>3.5</v>
          </cell>
          <cell r="U10">
            <v>5</v>
          </cell>
          <cell r="V10">
            <v>2</v>
          </cell>
          <cell r="W10">
            <v>19.6</v>
          </cell>
          <cell r="X10">
            <v>20.97</v>
          </cell>
          <cell r="Y10">
            <v>24.23</v>
          </cell>
        </row>
        <row r="11">
          <cell r="A11" t="str">
            <v>Construção de Redes de Abastecimento de Água, Coleta de Esgoto e Construções Correlatas</v>
          </cell>
          <cell r="B11">
            <v>3.43</v>
          </cell>
          <cell r="C11">
            <v>4.93</v>
          </cell>
          <cell r="D11">
            <v>6.71</v>
          </cell>
          <cell r="E11">
            <v>0.28</v>
          </cell>
          <cell r="F11">
            <v>0.49</v>
          </cell>
          <cell r="G11">
            <v>0.75</v>
          </cell>
          <cell r="H11">
            <v>1</v>
          </cell>
          <cell r="I11">
            <v>1.39</v>
          </cell>
          <cell r="J11">
            <v>1.74</v>
          </cell>
          <cell r="K11">
            <v>0.94</v>
          </cell>
          <cell r="L11">
            <v>0.99</v>
          </cell>
          <cell r="M11">
            <v>1.17</v>
          </cell>
          <cell r="N11">
            <v>6.74</v>
          </cell>
          <cell r="O11">
            <v>8.04</v>
          </cell>
          <cell r="P11">
            <v>9.4</v>
          </cell>
          <cell r="Q11">
            <v>3</v>
          </cell>
          <cell r="R11">
            <v>0.65</v>
          </cell>
          <cell r="S11">
            <v>2</v>
          </cell>
          <cell r="T11">
            <v>3.5</v>
          </cell>
          <cell r="U11">
            <v>5</v>
          </cell>
          <cell r="V11">
            <v>2</v>
          </cell>
          <cell r="W11">
            <v>20.76</v>
          </cell>
          <cell r="X11">
            <v>24.18</v>
          </cell>
          <cell r="Y11">
            <v>26.44</v>
          </cell>
        </row>
        <row r="12">
          <cell r="A12" t="str">
            <v>Construção e Manutenção de Estações e Redes de Distribuição de Energia Elétrica</v>
          </cell>
          <cell r="B12">
            <v>5.29</v>
          </cell>
          <cell r="C12">
            <v>5.92</v>
          </cell>
          <cell r="D12">
            <v>7.93</v>
          </cell>
          <cell r="E12">
            <v>0.25</v>
          </cell>
          <cell r="F12">
            <v>0.51</v>
          </cell>
          <cell r="G12">
            <v>0.56</v>
          </cell>
          <cell r="H12">
            <v>1</v>
          </cell>
          <cell r="I12">
            <v>1.48</v>
          </cell>
          <cell r="J12">
            <v>1.97</v>
          </cell>
          <cell r="K12">
            <v>1.01</v>
          </cell>
          <cell r="L12">
            <v>1.07</v>
          </cell>
          <cell r="M12">
            <v>1.11</v>
          </cell>
          <cell r="N12">
            <v>8</v>
          </cell>
          <cell r="O12">
            <v>8.31</v>
          </cell>
          <cell r="P12">
            <v>9.51</v>
          </cell>
          <cell r="Q12">
            <v>3</v>
          </cell>
          <cell r="R12">
            <v>0.65</v>
          </cell>
          <cell r="S12">
            <v>2</v>
          </cell>
          <cell r="T12">
            <v>3.5</v>
          </cell>
          <cell r="U12">
            <v>5</v>
          </cell>
          <cell r="V12">
            <v>2</v>
          </cell>
          <cell r="W12">
            <v>24</v>
          </cell>
          <cell r="X12">
            <v>25.84</v>
          </cell>
          <cell r="Y12">
            <v>27.86</v>
          </cell>
        </row>
        <row r="13">
          <cell r="A13" t="str">
            <v>Portuárias, Marítimas e Fluviais</v>
          </cell>
          <cell r="B13">
            <v>4</v>
          </cell>
          <cell r="C13">
            <v>5.52</v>
          </cell>
          <cell r="D13">
            <v>7.85</v>
          </cell>
          <cell r="E13">
            <v>0.81</v>
          </cell>
          <cell r="F13">
            <v>1.22</v>
          </cell>
          <cell r="G13">
            <v>1.99</v>
          </cell>
          <cell r="H13">
            <v>1.46</v>
          </cell>
          <cell r="I13">
            <v>2.32</v>
          </cell>
          <cell r="J13">
            <v>3.16</v>
          </cell>
          <cell r="K13">
            <v>0.94</v>
          </cell>
          <cell r="L13">
            <v>1.02</v>
          </cell>
          <cell r="M13">
            <v>1.33</v>
          </cell>
          <cell r="N13">
            <v>7.14</v>
          </cell>
          <cell r="O13">
            <v>8.4</v>
          </cell>
          <cell r="P13">
            <v>10.43</v>
          </cell>
          <cell r="Q13">
            <v>3</v>
          </cell>
          <cell r="R13">
            <v>0.65</v>
          </cell>
          <cell r="S13">
            <v>2</v>
          </cell>
          <cell r="T13">
            <v>3.5</v>
          </cell>
          <cell r="U13">
            <v>5</v>
          </cell>
          <cell r="V13">
            <v>2</v>
          </cell>
          <cell r="W13">
            <v>22.8</v>
          </cell>
          <cell r="X13">
            <v>27.48</v>
          </cell>
          <cell r="Y13">
            <v>30.95</v>
          </cell>
        </row>
        <row r="14">
          <cell r="A14" t="str">
            <v>Fornecimento de Materiais e Equipamentos</v>
          </cell>
          <cell r="B14">
            <v>1.5</v>
          </cell>
          <cell r="C14">
            <v>3.45</v>
          </cell>
          <cell r="D14">
            <v>4.49</v>
          </cell>
          <cell r="E14">
            <v>0.3</v>
          </cell>
          <cell r="F14">
            <v>0.48</v>
          </cell>
          <cell r="G14">
            <v>0.82</v>
          </cell>
          <cell r="H14">
            <v>0.56</v>
          </cell>
          <cell r="I14">
            <v>0.85</v>
          </cell>
          <cell r="J14">
            <v>0.89</v>
          </cell>
          <cell r="K14">
            <v>0.85</v>
          </cell>
          <cell r="L14">
            <v>0.85</v>
          </cell>
          <cell r="M14">
            <v>1.11</v>
          </cell>
          <cell r="N14">
            <v>3.5</v>
          </cell>
          <cell r="O14">
            <v>5.11</v>
          </cell>
          <cell r="P14">
            <v>6.22</v>
          </cell>
          <cell r="Q14">
            <v>3</v>
          </cell>
          <cell r="R14">
            <v>0.65</v>
          </cell>
          <cell r="S14">
            <v>2</v>
          </cell>
          <cell r="T14">
            <v>3.5</v>
          </cell>
          <cell r="U14">
            <v>5</v>
          </cell>
          <cell r="V14">
            <v>2</v>
          </cell>
          <cell r="W14">
            <v>11.1</v>
          </cell>
          <cell r="X14">
            <v>14.02</v>
          </cell>
          <cell r="Y14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5"/>
  <sheetViews>
    <sheetView showGridLines="0" tabSelected="1" view="pageBreakPreview" zoomScale="73" zoomScaleNormal="73" zoomScaleSheetLayoutView="73" zoomScalePageLayoutView="0" workbookViewId="0" topLeftCell="A1">
      <pane ySplit="9" topLeftCell="A10" activePane="bottomLeft" state="frozen"/>
      <selection pane="topLeft" activeCell="A1" sqref="A1"/>
      <selection pane="bottomLeft" activeCell="C14" sqref="C14"/>
    </sheetView>
  </sheetViews>
  <sheetFormatPr defaultColWidth="9.140625" defaultRowHeight="12.75" outlineLevelRow="1"/>
  <cols>
    <col min="1" max="1" width="12.7109375" style="101" customWidth="1"/>
    <col min="2" max="2" width="33.57421875" style="101" bestFit="1" customWidth="1"/>
    <col min="3" max="3" width="95.57421875" style="0" customWidth="1"/>
    <col min="4" max="4" width="10.8515625" style="308" customWidth="1"/>
    <col min="5" max="5" width="15.28125" style="264" customWidth="1"/>
    <col min="6" max="6" width="17.00390625" style="303" customWidth="1"/>
    <col min="7" max="7" width="18.28125" style="303" customWidth="1"/>
    <col min="8" max="8" width="18.421875" style="304" customWidth="1"/>
    <col min="9" max="9" width="25.8515625" style="303" bestFit="1" customWidth="1"/>
    <col min="10" max="10" width="19.00390625" style="303" customWidth="1"/>
    <col min="11" max="11" width="17.8515625" style="303" customWidth="1"/>
    <col min="12" max="12" width="26.28125" style="0" bestFit="1" customWidth="1"/>
    <col min="13" max="13" width="26.28125" style="0" customWidth="1"/>
    <col min="14" max="14" width="14.00390625" style="0" bestFit="1" customWidth="1"/>
    <col min="15" max="15" width="20.57421875" style="0" customWidth="1"/>
    <col min="16" max="16" width="27.8515625" style="0" bestFit="1" customWidth="1"/>
    <col min="17" max="17" width="12.421875" style="0" bestFit="1" customWidth="1"/>
    <col min="18" max="18" width="19.28125" style="0" customWidth="1"/>
  </cols>
  <sheetData>
    <row r="2" spans="1:13" s="220" customFormat="1" ht="15.75">
      <c r="A2" s="218"/>
      <c r="B2" s="218"/>
      <c r="C2" s="114" t="s">
        <v>208</v>
      </c>
      <c r="D2" s="243"/>
      <c r="E2" s="419"/>
      <c r="F2" s="419"/>
      <c r="G2" s="265"/>
      <c r="H2" s="265"/>
      <c r="I2" s="265"/>
      <c r="J2" s="265"/>
      <c r="K2" s="265"/>
      <c r="L2" s="219"/>
      <c r="M2" s="219"/>
    </row>
    <row r="3" spans="1:13" s="220" customFormat="1" ht="30">
      <c r="A3" s="218"/>
      <c r="B3" s="218"/>
      <c r="C3" s="114" t="s">
        <v>209</v>
      </c>
      <c r="D3" s="243"/>
      <c r="E3" s="246" t="s">
        <v>469</v>
      </c>
      <c r="F3" s="265"/>
      <c r="G3" s="265"/>
      <c r="H3" s="265"/>
      <c r="I3" s="265"/>
      <c r="J3" s="265"/>
      <c r="K3" s="265"/>
      <c r="L3" s="219"/>
      <c r="M3" s="219"/>
    </row>
    <row r="4" spans="1:13" s="220" customFormat="1" ht="15.75">
      <c r="A4" s="218"/>
      <c r="B4" s="218"/>
      <c r="C4" s="114" t="s">
        <v>210</v>
      </c>
      <c r="D4" s="243"/>
      <c r="E4" s="427" t="s">
        <v>207</v>
      </c>
      <c r="F4" s="428"/>
      <c r="G4" s="428"/>
      <c r="H4" s="265"/>
      <c r="I4" s="265"/>
      <c r="J4" s="265"/>
      <c r="K4" s="265"/>
      <c r="L4" s="219"/>
      <c r="M4" s="219"/>
    </row>
    <row r="5" spans="1:13" s="114" customFormat="1" ht="18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325"/>
    </row>
    <row r="6" spans="1:13" s="114" customFormat="1" ht="18">
      <c r="A6" s="420" t="s">
        <v>52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325"/>
    </row>
    <row r="7" spans="1:13" s="114" customFormat="1" ht="18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325"/>
    </row>
    <row r="8" spans="1:18" s="116" customFormat="1" ht="15.75">
      <c r="A8" s="421" t="s">
        <v>310</v>
      </c>
      <c r="B8" s="422"/>
      <c r="C8" s="422"/>
      <c r="D8" s="422"/>
      <c r="E8" s="423"/>
      <c r="F8" s="424"/>
      <c r="G8" s="425"/>
      <c r="H8" s="426"/>
      <c r="I8" s="429" t="s">
        <v>227</v>
      </c>
      <c r="J8" s="430"/>
      <c r="K8" s="430"/>
      <c r="L8" s="115" t="s">
        <v>506</v>
      </c>
      <c r="M8" s="326"/>
      <c r="N8" s="220"/>
      <c r="O8" s="117" t="s">
        <v>132</v>
      </c>
      <c r="P8" s="117" t="s">
        <v>133</v>
      </c>
      <c r="Q8" s="239">
        <v>1.28</v>
      </c>
      <c r="R8" s="241">
        <f>L222</f>
        <v>566535.71</v>
      </c>
    </row>
    <row r="9" spans="1:16" s="125" customFormat="1" ht="31.5">
      <c r="A9" s="214" t="s">
        <v>5</v>
      </c>
      <c r="B9" s="214" t="s">
        <v>211</v>
      </c>
      <c r="C9" s="214" t="s">
        <v>6</v>
      </c>
      <c r="D9" s="214" t="s">
        <v>134</v>
      </c>
      <c r="E9" s="247" t="s">
        <v>212</v>
      </c>
      <c r="F9" s="266" t="s">
        <v>132</v>
      </c>
      <c r="G9" s="266" t="s">
        <v>133</v>
      </c>
      <c r="H9" s="267" t="s">
        <v>204</v>
      </c>
      <c r="I9" s="266" t="s">
        <v>205</v>
      </c>
      <c r="J9" s="266" t="s">
        <v>206</v>
      </c>
      <c r="K9" s="266" t="s">
        <v>135</v>
      </c>
      <c r="L9" s="117" t="s">
        <v>203</v>
      </c>
      <c r="M9" s="327"/>
      <c r="N9" s="116"/>
      <c r="O9" s="123"/>
      <c r="P9" s="123"/>
    </row>
    <row r="10" spans="1:16" s="125" customFormat="1" ht="12.75">
      <c r="A10" s="106">
        <v>1</v>
      </c>
      <c r="B10" s="106"/>
      <c r="C10" s="104" t="s">
        <v>92</v>
      </c>
      <c r="D10" s="122"/>
      <c r="E10" s="248"/>
      <c r="F10" s="268"/>
      <c r="G10" s="268"/>
      <c r="H10" s="269"/>
      <c r="I10" s="268"/>
      <c r="J10" s="268"/>
      <c r="K10" s="268"/>
      <c r="L10" s="124"/>
      <c r="M10" s="328"/>
      <c r="O10" s="126"/>
      <c r="P10" s="126"/>
    </row>
    <row r="11" spans="1:16" s="125" customFormat="1" ht="12.75">
      <c r="A11" s="106" t="s">
        <v>53</v>
      </c>
      <c r="B11" s="106"/>
      <c r="C11" s="104" t="s">
        <v>93</v>
      </c>
      <c r="D11" s="122"/>
      <c r="E11" s="248"/>
      <c r="F11" s="270"/>
      <c r="G11" s="270"/>
      <c r="H11" s="269"/>
      <c r="I11" s="268"/>
      <c r="J11" s="268"/>
      <c r="K11" s="268"/>
      <c r="L11" s="124"/>
      <c r="M11" s="328"/>
      <c r="O11" s="128">
        <v>800</v>
      </c>
      <c r="P11" s="195"/>
    </row>
    <row r="12" spans="1:16" s="125" customFormat="1" ht="12.75">
      <c r="A12" s="127" t="s">
        <v>54</v>
      </c>
      <c r="B12" s="127" t="s">
        <v>304</v>
      </c>
      <c r="C12" s="194" t="s">
        <v>303</v>
      </c>
      <c r="D12" s="127" t="s">
        <v>243</v>
      </c>
      <c r="E12" s="245">
        <v>3</v>
      </c>
      <c r="F12" s="271">
        <v>0</v>
      </c>
      <c r="G12" s="271">
        <v>233.94</v>
      </c>
      <c r="H12" s="273">
        <f>G12+F12</f>
        <v>233.94</v>
      </c>
      <c r="I12" s="271">
        <f>F12*E12</f>
        <v>0</v>
      </c>
      <c r="J12" s="271">
        <f>G12*E12</f>
        <v>701.82</v>
      </c>
      <c r="K12" s="271">
        <f>I12+J12</f>
        <v>701.82</v>
      </c>
      <c r="L12" s="136"/>
      <c r="M12" s="329"/>
      <c r="O12" s="128">
        <v>700</v>
      </c>
      <c r="P12" s="195"/>
    </row>
    <row r="13" spans="1:16" s="125" customFormat="1" ht="12.75">
      <c r="A13" s="221"/>
      <c r="B13" s="221"/>
      <c r="C13" s="222" t="s">
        <v>137</v>
      </c>
      <c r="D13" s="221"/>
      <c r="E13" s="249"/>
      <c r="F13" s="271"/>
      <c r="G13" s="271"/>
      <c r="H13" s="276"/>
      <c r="I13" s="277"/>
      <c r="J13" s="277"/>
      <c r="K13" s="277"/>
      <c r="L13" s="227">
        <f>SUM(K12:K12)</f>
        <v>701.82</v>
      </c>
      <c r="M13" s="330"/>
      <c r="N13" s="225"/>
      <c r="O13" s="175"/>
      <c r="P13" s="175"/>
    </row>
    <row r="14" spans="1:16" s="125" customFormat="1" ht="12.75">
      <c r="A14" s="173"/>
      <c r="B14" s="173"/>
      <c r="C14" s="174" t="s">
        <v>141</v>
      </c>
      <c r="D14" s="173"/>
      <c r="E14" s="250"/>
      <c r="F14" s="272"/>
      <c r="G14" s="272"/>
      <c r="H14" s="278"/>
      <c r="I14" s="279">
        <f>SUM(I12:I13)</f>
        <v>0</v>
      </c>
      <c r="J14" s="279">
        <f>SUM(J12:J13)</f>
        <v>701.82</v>
      </c>
      <c r="K14" s="272"/>
      <c r="L14" s="176">
        <f>L13</f>
        <v>701.82</v>
      </c>
      <c r="M14" s="331">
        <f>L14</f>
        <v>701.82</v>
      </c>
      <c r="N14" s="238">
        <f>L14*1.2698</f>
        <v>891.17</v>
      </c>
      <c r="O14" s="128"/>
      <c r="P14" s="130"/>
    </row>
    <row r="15" spans="1:16" s="125" customFormat="1" ht="12.75">
      <c r="A15" s="122"/>
      <c r="B15" s="122"/>
      <c r="C15" s="106"/>
      <c r="D15" s="122"/>
      <c r="E15" s="248"/>
      <c r="F15" s="271"/>
      <c r="G15" s="280"/>
      <c r="H15" s="281"/>
      <c r="I15" s="268"/>
      <c r="J15" s="268"/>
      <c r="K15" s="268"/>
      <c r="L15" s="131"/>
      <c r="M15" s="332"/>
      <c r="O15" s="128"/>
      <c r="P15" s="130"/>
    </row>
    <row r="16" spans="1:16" s="125" customFormat="1" ht="12.75">
      <c r="A16" s="106">
        <v>2</v>
      </c>
      <c r="B16" s="106"/>
      <c r="C16" s="104" t="s">
        <v>95</v>
      </c>
      <c r="D16" s="127"/>
      <c r="E16" s="245"/>
      <c r="F16" s="271"/>
      <c r="G16" s="280"/>
      <c r="H16" s="273"/>
      <c r="I16" s="271"/>
      <c r="J16" s="271"/>
      <c r="K16" s="271"/>
      <c r="L16" s="129"/>
      <c r="M16" s="333"/>
      <c r="O16" s="128"/>
      <c r="P16" s="130"/>
    </row>
    <row r="17" spans="1:16" s="125" customFormat="1" ht="12.75">
      <c r="A17" s="106" t="s">
        <v>55</v>
      </c>
      <c r="B17" s="106"/>
      <c r="C17" s="104" t="s">
        <v>96</v>
      </c>
      <c r="D17" s="127"/>
      <c r="E17" s="245"/>
      <c r="F17" s="271"/>
      <c r="G17" s="280"/>
      <c r="H17" s="273"/>
      <c r="I17" s="271"/>
      <c r="J17" s="271"/>
      <c r="K17" s="271"/>
      <c r="L17" s="129"/>
      <c r="M17" s="333"/>
      <c r="O17" s="128">
        <v>0.68</v>
      </c>
      <c r="P17" s="195"/>
    </row>
    <row r="18" spans="1:16" s="125" customFormat="1" ht="12.75">
      <c r="A18" s="127" t="s">
        <v>56</v>
      </c>
      <c r="B18" s="127" t="s">
        <v>392</v>
      </c>
      <c r="C18" s="194" t="s">
        <v>302</v>
      </c>
      <c r="D18" s="127" t="s">
        <v>23</v>
      </c>
      <c r="E18" s="245">
        <v>2</v>
      </c>
      <c r="F18" s="271">
        <v>250</v>
      </c>
      <c r="G18" s="271">
        <f>12.7+18.53</f>
        <v>31.23</v>
      </c>
      <c r="H18" s="273">
        <f>G18+F18</f>
        <v>281.23</v>
      </c>
      <c r="I18" s="271">
        <f>F18*E18</f>
        <v>500</v>
      </c>
      <c r="J18" s="271">
        <f>G18*E18</f>
        <v>62.46</v>
      </c>
      <c r="K18" s="271">
        <f>I18+J18</f>
        <v>562.46</v>
      </c>
      <c r="L18" s="136"/>
      <c r="M18" s="329"/>
      <c r="O18" s="128">
        <v>47.64</v>
      </c>
      <c r="P18" s="130">
        <v>16.44</v>
      </c>
    </row>
    <row r="19" spans="1:16" s="139" customFormat="1" ht="12.75">
      <c r="A19" s="226"/>
      <c r="B19" s="226"/>
      <c r="C19" s="222" t="s">
        <v>137</v>
      </c>
      <c r="D19" s="226"/>
      <c r="E19" s="251"/>
      <c r="F19" s="275"/>
      <c r="G19" s="275"/>
      <c r="H19" s="282"/>
      <c r="I19" s="275"/>
      <c r="J19" s="275"/>
      <c r="K19" s="275"/>
      <c r="L19" s="227">
        <f>SUM(K18:K18)</f>
        <v>562.46</v>
      </c>
      <c r="M19" s="330"/>
      <c r="N19" s="225"/>
      <c r="O19" s="153"/>
      <c r="P19" s="153"/>
    </row>
    <row r="20" spans="1:16" s="125" customFormat="1" ht="12.75">
      <c r="A20" s="152" t="s">
        <v>57</v>
      </c>
      <c r="B20" s="152"/>
      <c r="C20" s="154" t="s">
        <v>257</v>
      </c>
      <c r="D20" s="137"/>
      <c r="E20" s="253"/>
      <c r="F20" s="283"/>
      <c r="G20" s="283"/>
      <c r="H20" s="273"/>
      <c r="I20" s="283"/>
      <c r="J20" s="283"/>
      <c r="K20" s="283"/>
      <c r="L20" s="217"/>
      <c r="M20" s="334"/>
      <c r="N20" s="139"/>
      <c r="O20" s="128">
        <v>0.68</v>
      </c>
      <c r="P20" s="195"/>
    </row>
    <row r="21" spans="1:16" s="139" customFormat="1" ht="25.5">
      <c r="A21" s="137" t="s">
        <v>58</v>
      </c>
      <c r="B21" s="137" t="s">
        <v>520</v>
      </c>
      <c r="C21" s="198" t="s">
        <v>213</v>
      </c>
      <c r="D21" s="137" t="s">
        <v>23</v>
      </c>
      <c r="E21" s="253">
        <f>454.32+389.45+60.72+481.88</f>
        <v>1386.37</v>
      </c>
      <c r="F21" s="283">
        <f>0.08+0.01+0.05+0.01+0.1</f>
        <v>0.25</v>
      </c>
      <c r="G21" s="283">
        <f>2.36+4.92+1.25+0.86</f>
        <v>9.39</v>
      </c>
      <c r="H21" s="273">
        <f>G21+F21</f>
        <v>9.64</v>
      </c>
      <c r="I21" s="283">
        <f>F21*E21</f>
        <v>346.59</v>
      </c>
      <c r="J21" s="283">
        <f>G21*E21</f>
        <v>13018.01</v>
      </c>
      <c r="K21" s="283">
        <f>I21+J21</f>
        <v>13364.6</v>
      </c>
      <c r="L21" s="309"/>
      <c r="M21" s="335"/>
      <c r="N21" s="358"/>
      <c r="O21" s="153"/>
      <c r="P21" s="153"/>
    </row>
    <row r="22" spans="1:16" s="139" customFormat="1" ht="12.75">
      <c r="A22" s="137" t="s">
        <v>228</v>
      </c>
      <c r="B22" s="137" t="s">
        <v>393</v>
      </c>
      <c r="C22" s="198" t="s">
        <v>214</v>
      </c>
      <c r="D22" s="137" t="s">
        <v>16</v>
      </c>
      <c r="E22" s="253">
        <f>((E21*0.04)*1.3)</f>
        <v>72.09</v>
      </c>
      <c r="F22" s="283">
        <v>0</v>
      </c>
      <c r="G22" s="283">
        <f>81.6+34.87+39.69</f>
        <v>156.16</v>
      </c>
      <c r="H22" s="273">
        <f>G22+F22</f>
        <v>156.16</v>
      </c>
      <c r="I22" s="283">
        <f>F22*E22</f>
        <v>0</v>
      </c>
      <c r="J22" s="283">
        <f>G22*E22</f>
        <v>11257.57</v>
      </c>
      <c r="K22" s="283">
        <f>I22+J22</f>
        <v>11257.57</v>
      </c>
      <c r="L22" s="309"/>
      <c r="M22" s="335"/>
      <c r="N22" s="358"/>
      <c r="O22" s="153"/>
      <c r="P22" s="153"/>
    </row>
    <row r="23" spans="1:16" s="125" customFormat="1" ht="12.75">
      <c r="A23" s="137" t="s">
        <v>229</v>
      </c>
      <c r="B23" s="127" t="s">
        <v>394</v>
      </c>
      <c r="C23" s="196" t="s">
        <v>258</v>
      </c>
      <c r="D23" s="137" t="s">
        <v>16</v>
      </c>
      <c r="E23" s="252">
        <f>20.19+7.8</f>
        <v>27.99</v>
      </c>
      <c r="F23" s="271">
        <v>0</v>
      </c>
      <c r="G23" s="271">
        <v>65.59</v>
      </c>
      <c r="H23" s="273">
        <f>G23+F23</f>
        <v>65.59</v>
      </c>
      <c r="I23" s="271">
        <f>F23*E23</f>
        <v>0</v>
      </c>
      <c r="J23" s="271">
        <f>G23*E23</f>
        <v>1835.86</v>
      </c>
      <c r="K23" s="271">
        <f>I23+J23</f>
        <v>1835.86</v>
      </c>
      <c r="L23" s="132"/>
      <c r="M23" s="336"/>
      <c r="N23" s="358"/>
      <c r="O23" s="128"/>
      <c r="P23" s="130"/>
    </row>
    <row r="24" spans="1:16" s="125" customFormat="1" ht="12.75">
      <c r="A24" s="137" t="s">
        <v>230</v>
      </c>
      <c r="B24" s="127" t="s">
        <v>395</v>
      </c>
      <c r="C24" s="196" t="s">
        <v>259</v>
      </c>
      <c r="D24" s="137" t="s">
        <v>16</v>
      </c>
      <c r="E24" s="252">
        <f>1.2</f>
        <v>1.2</v>
      </c>
      <c r="F24" s="271">
        <v>0</v>
      </c>
      <c r="G24" s="271">
        <v>23.32</v>
      </c>
      <c r="H24" s="273">
        <f>G24+F24</f>
        <v>23.32</v>
      </c>
      <c r="I24" s="271">
        <f>F24*E24</f>
        <v>0</v>
      </c>
      <c r="J24" s="271">
        <f>G24*E24</f>
        <v>27.98</v>
      </c>
      <c r="K24" s="271">
        <f>I24+J24</f>
        <v>27.98</v>
      </c>
      <c r="L24" s="132"/>
      <c r="M24" s="336"/>
      <c r="O24" s="128"/>
      <c r="P24" s="130"/>
    </row>
    <row r="25" spans="1:16" s="125" customFormat="1" ht="12.75">
      <c r="A25" s="226"/>
      <c r="B25" s="226"/>
      <c r="C25" s="222" t="s">
        <v>137</v>
      </c>
      <c r="D25" s="226"/>
      <c r="E25" s="251"/>
      <c r="F25" s="275"/>
      <c r="G25" s="275"/>
      <c r="H25" s="282"/>
      <c r="I25" s="275"/>
      <c r="J25" s="275"/>
      <c r="K25" s="275"/>
      <c r="L25" s="227">
        <f>SUM(K21:K24)</f>
        <v>26486.01</v>
      </c>
      <c r="M25" s="330"/>
      <c r="N25" s="225"/>
      <c r="O25" s="175"/>
      <c r="P25" s="175"/>
    </row>
    <row r="26" spans="1:16" s="225" customFormat="1" ht="12.75">
      <c r="A26" s="127"/>
      <c r="B26" s="127"/>
      <c r="C26" s="194"/>
      <c r="D26" s="127"/>
      <c r="E26" s="245"/>
      <c r="F26" s="271"/>
      <c r="G26" s="271"/>
      <c r="H26" s="273"/>
      <c r="I26" s="271"/>
      <c r="J26" s="271"/>
      <c r="K26" s="271"/>
      <c r="L26" s="215"/>
      <c r="M26" s="337"/>
      <c r="N26" s="125"/>
      <c r="O26" s="223"/>
      <c r="P26" s="223"/>
    </row>
    <row r="27" spans="1:16" s="125" customFormat="1" ht="12.75">
      <c r="A27" s="173"/>
      <c r="B27" s="173"/>
      <c r="C27" s="174" t="s">
        <v>140</v>
      </c>
      <c r="D27" s="173"/>
      <c r="E27" s="250"/>
      <c r="F27" s="272"/>
      <c r="G27" s="272"/>
      <c r="H27" s="278"/>
      <c r="I27" s="279">
        <f>SUM(I15:I26)</f>
        <v>846.59</v>
      </c>
      <c r="J27" s="279">
        <f>SUM(J15:J26)</f>
        <v>26201.88</v>
      </c>
      <c r="K27" s="272"/>
      <c r="L27" s="216">
        <f>SUM(L17:L25)</f>
        <v>27048.47</v>
      </c>
      <c r="M27" s="338">
        <f>L27</f>
        <v>27048.47</v>
      </c>
      <c r="N27" s="238">
        <f>L27*1.2698</f>
        <v>34346.15</v>
      </c>
      <c r="O27" s="128"/>
      <c r="P27" s="130"/>
    </row>
    <row r="28" spans="1:17" s="125" customFormat="1" ht="12.75">
      <c r="A28" s="137"/>
      <c r="B28" s="137"/>
      <c r="C28" s="152"/>
      <c r="D28" s="137"/>
      <c r="E28" s="253"/>
      <c r="F28" s="283"/>
      <c r="G28" s="312"/>
      <c r="H28" s="273"/>
      <c r="I28" s="283"/>
      <c r="J28" s="283"/>
      <c r="K28" s="283"/>
      <c r="L28" s="309"/>
      <c r="M28" s="335"/>
      <c r="O28" s="128"/>
      <c r="P28" s="130"/>
      <c r="Q28" s="238"/>
    </row>
    <row r="29" spans="1:16" s="125" customFormat="1" ht="12.75">
      <c r="A29" s="106">
        <v>3</v>
      </c>
      <c r="B29" s="106"/>
      <c r="C29" s="104" t="s">
        <v>99</v>
      </c>
      <c r="D29" s="127"/>
      <c r="E29" s="245"/>
      <c r="F29" s="271"/>
      <c r="G29" s="280"/>
      <c r="H29" s="273"/>
      <c r="I29" s="283"/>
      <c r="J29" s="271"/>
      <c r="K29" s="271"/>
      <c r="L29" s="144"/>
      <c r="M29" s="339"/>
      <c r="O29" s="128"/>
      <c r="P29" s="130"/>
    </row>
    <row r="30" spans="1:16" s="125" customFormat="1" ht="12.75">
      <c r="A30" s="106" t="s">
        <v>231</v>
      </c>
      <c r="B30" s="106"/>
      <c r="C30" s="104" t="s">
        <v>100</v>
      </c>
      <c r="D30" s="127"/>
      <c r="E30" s="245"/>
      <c r="F30" s="271"/>
      <c r="G30" s="280"/>
      <c r="H30" s="273"/>
      <c r="I30" s="271"/>
      <c r="J30" s="271"/>
      <c r="K30" s="271"/>
      <c r="L30" s="129"/>
      <c r="M30" s="333"/>
      <c r="O30" s="128"/>
      <c r="P30" s="130"/>
    </row>
    <row r="31" spans="1:16" s="125" customFormat="1" ht="12.75">
      <c r="A31" s="106" t="s">
        <v>232</v>
      </c>
      <c r="B31" s="106"/>
      <c r="C31" s="104" t="s">
        <v>233</v>
      </c>
      <c r="D31" s="127"/>
      <c r="E31" s="245"/>
      <c r="F31" s="271"/>
      <c r="G31" s="280"/>
      <c r="H31" s="273"/>
      <c r="I31" s="271"/>
      <c r="J31" s="271"/>
      <c r="K31" s="271"/>
      <c r="L31" s="129"/>
      <c r="M31" s="333"/>
      <c r="O31" s="128">
        <v>31.99</v>
      </c>
      <c r="P31" s="130">
        <v>14.24</v>
      </c>
    </row>
    <row r="32" spans="1:16" s="225" customFormat="1" ht="38.25">
      <c r="A32" s="127" t="s">
        <v>315</v>
      </c>
      <c r="B32" s="127" t="s">
        <v>396</v>
      </c>
      <c r="C32" s="194" t="s">
        <v>221</v>
      </c>
      <c r="D32" s="127" t="s">
        <v>23</v>
      </c>
      <c r="E32" s="245">
        <f>19+25*0.3</f>
        <v>26.5</v>
      </c>
      <c r="F32" s="271">
        <f>0.34+1.93+35.37+6.56</f>
        <v>44.2</v>
      </c>
      <c r="G32" s="271">
        <f>22.89+8.45</f>
        <v>31.34</v>
      </c>
      <c r="H32" s="273">
        <f>G32+F32</f>
        <v>75.54</v>
      </c>
      <c r="I32" s="271">
        <f>F32*E32</f>
        <v>1171.3</v>
      </c>
      <c r="J32" s="271">
        <f>G32*E32</f>
        <v>830.51</v>
      </c>
      <c r="K32" s="271">
        <f>I32+J32</f>
        <v>2001.81</v>
      </c>
      <c r="L32" s="129"/>
      <c r="M32" s="333"/>
      <c r="N32" s="125"/>
      <c r="O32" s="223"/>
      <c r="P32" s="223"/>
    </row>
    <row r="33" spans="1:16" s="225" customFormat="1" ht="25.5">
      <c r="A33" s="127" t="s">
        <v>316</v>
      </c>
      <c r="B33" s="127" t="s">
        <v>397</v>
      </c>
      <c r="C33" s="194" t="s">
        <v>225</v>
      </c>
      <c r="D33" s="313" t="s">
        <v>0</v>
      </c>
      <c r="E33" s="245">
        <f>E34*60</f>
        <v>244.8</v>
      </c>
      <c r="F33" s="271">
        <f>6.43+0.14</f>
        <v>6.57</v>
      </c>
      <c r="G33" s="271">
        <f>0.13+1.16</f>
        <v>1.29</v>
      </c>
      <c r="H33" s="273">
        <f>G33+F33</f>
        <v>7.86</v>
      </c>
      <c r="I33" s="271">
        <f>F33*E33</f>
        <v>1608.34</v>
      </c>
      <c r="J33" s="271">
        <f>G33*E33</f>
        <v>315.79</v>
      </c>
      <c r="K33" s="271">
        <f>I33+J33</f>
        <v>1924.13</v>
      </c>
      <c r="L33" s="129"/>
      <c r="M33" s="333"/>
      <c r="N33" s="125"/>
      <c r="O33" s="223"/>
      <c r="P33" s="223"/>
    </row>
    <row r="34" spans="1:15" s="125" customFormat="1" ht="25.5">
      <c r="A34" s="127" t="s">
        <v>317</v>
      </c>
      <c r="B34" s="137" t="s">
        <v>398</v>
      </c>
      <c r="C34" s="194" t="s">
        <v>224</v>
      </c>
      <c r="D34" s="313" t="s">
        <v>16</v>
      </c>
      <c r="E34" s="245">
        <f>(44*0.12*0.12)+(23*0.15)</f>
        <v>4.08</v>
      </c>
      <c r="F34" s="312">
        <f>74.63+132.42+38.36</f>
        <v>245.41</v>
      </c>
      <c r="G34" s="312">
        <f>0.2+1.02+26.88+41.94</f>
        <v>70.04</v>
      </c>
      <c r="H34" s="273">
        <f>G34+F34</f>
        <v>315.45</v>
      </c>
      <c r="I34" s="271">
        <f>F34*E34</f>
        <v>1001.27</v>
      </c>
      <c r="J34" s="271">
        <f>G34*E34</f>
        <v>285.76</v>
      </c>
      <c r="K34" s="271">
        <f>I34+J34</f>
        <v>1287.03</v>
      </c>
      <c r="L34" s="129"/>
      <c r="M34" s="129"/>
      <c r="N34" s="195"/>
      <c r="O34" s="130">
        <v>30</v>
      </c>
    </row>
    <row r="35" spans="1:16" s="169" customFormat="1" ht="12.75">
      <c r="A35" s="127" t="s">
        <v>318</v>
      </c>
      <c r="B35" s="202" t="s">
        <v>399</v>
      </c>
      <c r="C35" s="204" t="s">
        <v>260</v>
      </c>
      <c r="D35" s="134" t="s">
        <v>243</v>
      </c>
      <c r="E35" s="252">
        <v>1</v>
      </c>
      <c r="F35" s="271">
        <f>64.4+1.6+1.87+17.4+3.58+8.3+16.57+1.51+10.49</f>
        <v>125.72</v>
      </c>
      <c r="G35" s="271">
        <f>114.17+155.47</f>
        <v>269.64</v>
      </c>
      <c r="H35" s="273">
        <f>G35+F35</f>
        <v>395.36</v>
      </c>
      <c r="I35" s="271">
        <f>F35*E35</f>
        <v>125.72</v>
      </c>
      <c r="J35" s="271">
        <f>G35*E35</f>
        <v>269.64</v>
      </c>
      <c r="K35" s="271">
        <f>I35+J35</f>
        <v>395.36</v>
      </c>
      <c r="L35" s="170"/>
      <c r="M35" s="340"/>
      <c r="O35" s="171">
        <v>2.59</v>
      </c>
      <c r="P35" s="171">
        <v>2.4</v>
      </c>
    </row>
    <row r="36" spans="1:16" s="125" customFormat="1" ht="15" customHeight="1">
      <c r="A36" s="226"/>
      <c r="B36" s="226"/>
      <c r="C36" s="222" t="s">
        <v>137</v>
      </c>
      <c r="D36" s="226"/>
      <c r="E36" s="251"/>
      <c r="F36" s="275"/>
      <c r="G36" s="275"/>
      <c r="H36" s="282"/>
      <c r="I36" s="275"/>
      <c r="J36" s="275"/>
      <c r="K36" s="275"/>
      <c r="L36" s="224">
        <f>SUM(K32:K35)</f>
        <v>5608.33</v>
      </c>
      <c r="M36" s="341"/>
      <c r="N36" s="225"/>
      <c r="O36" s="128"/>
      <c r="P36" s="130"/>
    </row>
    <row r="37" spans="1:16" s="125" customFormat="1" ht="12.75">
      <c r="A37" s="106" t="s">
        <v>319</v>
      </c>
      <c r="B37" s="106"/>
      <c r="C37" s="104" t="s">
        <v>234</v>
      </c>
      <c r="D37" s="127"/>
      <c r="E37" s="245"/>
      <c r="F37" s="271"/>
      <c r="G37" s="280"/>
      <c r="H37" s="273"/>
      <c r="I37" s="271"/>
      <c r="J37" s="271"/>
      <c r="K37" s="271"/>
      <c r="L37" s="129"/>
      <c r="M37" s="333"/>
      <c r="O37" s="128"/>
      <c r="P37" s="130"/>
    </row>
    <row r="38" spans="1:16" s="125" customFormat="1" ht="12.75">
      <c r="A38" s="106" t="s">
        <v>320</v>
      </c>
      <c r="B38" s="106"/>
      <c r="C38" s="118" t="s">
        <v>235</v>
      </c>
      <c r="D38" s="127"/>
      <c r="E38" s="245"/>
      <c r="F38" s="271"/>
      <c r="G38" s="280"/>
      <c r="H38" s="273"/>
      <c r="I38" s="271"/>
      <c r="J38" s="271"/>
      <c r="K38" s="271"/>
      <c r="L38" s="129"/>
      <c r="M38" s="333"/>
      <c r="O38" s="128">
        <v>226.54</v>
      </c>
      <c r="P38" s="130">
        <v>49.11</v>
      </c>
    </row>
    <row r="39" spans="1:16" s="125" customFormat="1" ht="38.25">
      <c r="A39" s="127" t="s">
        <v>321</v>
      </c>
      <c r="B39" s="127" t="s">
        <v>400</v>
      </c>
      <c r="C39" s="196" t="s">
        <v>313</v>
      </c>
      <c r="D39" s="133" t="s">
        <v>50</v>
      </c>
      <c r="E39" s="252">
        <f>17.3+1+0.3+1.15+16</f>
        <v>35.75</v>
      </c>
      <c r="F39" s="271">
        <f>51.1+5.11+1.21+6.23+31.88+47.58</f>
        <v>143.11</v>
      </c>
      <c r="G39" s="271">
        <f>86.22+129.12</f>
        <v>215.34</v>
      </c>
      <c r="H39" s="273">
        <f>G39+F39</f>
        <v>358.45</v>
      </c>
      <c r="I39" s="271">
        <f>F39*E39</f>
        <v>5116.18</v>
      </c>
      <c r="J39" s="271">
        <f>G39*E39</f>
        <v>7698.41</v>
      </c>
      <c r="K39" s="271">
        <f>I39+J39</f>
        <v>12814.59</v>
      </c>
      <c r="L39" s="132"/>
      <c r="M39" s="336"/>
      <c r="O39" s="128">
        <v>95.09</v>
      </c>
      <c r="P39" s="130">
        <v>45.81</v>
      </c>
    </row>
    <row r="40" spans="1:16" s="125" customFormat="1" ht="12.75">
      <c r="A40" s="127" t="s">
        <v>322</v>
      </c>
      <c r="B40" s="127" t="s">
        <v>401</v>
      </c>
      <c r="C40" s="196" t="s">
        <v>301</v>
      </c>
      <c r="D40" s="127" t="s">
        <v>23</v>
      </c>
      <c r="E40" s="252">
        <f>3*1.2+1.8</f>
        <v>5.4</v>
      </c>
      <c r="F40" s="271">
        <f>281.9</f>
        <v>281.9</v>
      </c>
      <c r="G40" s="271">
        <f>34.2</f>
        <v>34.2</v>
      </c>
      <c r="H40" s="273">
        <f>G40+F40</f>
        <v>316.1</v>
      </c>
      <c r="I40" s="271">
        <f>F40*E40</f>
        <v>1522.26</v>
      </c>
      <c r="J40" s="271">
        <f>G40*E40</f>
        <v>184.68</v>
      </c>
      <c r="K40" s="271">
        <f>I40+J40</f>
        <v>1706.94</v>
      </c>
      <c r="L40" s="132"/>
      <c r="M40" s="336"/>
      <c r="O40" s="128"/>
      <c r="P40" s="130"/>
    </row>
    <row r="41" spans="1:16" s="125" customFormat="1" ht="15" customHeight="1">
      <c r="A41" s="226"/>
      <c r="B41" s="226"/>
      <c r="C41" s="222" t="s">
        <v>137</v>
      </c>
      <c r="D41" s="226"/>
      <c r="E41" s="251"/>
      <c r="F41" s="275"/>
      <c r="G41" s="275"/>
      <c r="H41" s="282"/>
      <c r="I41" s="275"/>
      <c r="J41" s="275"/>
      <c r="K41" s="275"/>
      <c r="L41" s="224">
        <f>SUM(K39:K40)</f>
        <v>14521.53</v>
      </c>
      <c r="M41" s="341"/>
      <c r="N41" s="225"/>
      <c r="O41" s="128"/>
      <c r="P41" s="130"/>
    </row>
    <row r="42" spans="1:16" s="125" customFormat="1" ht="12.75">
      <c r="A42" s="106" t="s">
        <v>323</v>
      </c>
      <c r="B42" s="106"/>
      <c r="C42" s="104" t="s">
        <v>236</v>
      </c>
      <c r="D42" s="127"/>
      <c r="E42" s="245"/>
      <c r="F42" s="271"/>
      <c r="G42" s="280"/>
      <c r="H42" s="273"/>
      <c r="I42" s="271"/>
      <c r="J42" s="271"/>
      <c r="K42" s="271"/>
      <c r="L42" s="129"/>
      <c r="M42" s="333"/>
      <c r="O42" s="128"/>
      <c r="P42" s="130"/>
    </row>
    <row r="43" spans="1:16" s="125" customFormat="1" ht="12.75">
      <c r="A43" s="106" t="s">
        <v>324</v>
      </c>
      <c r="B43" s="106"/>
      <c r="C43" s="104" t="s">
        <v>237</v>
      </c>
      <c r="D43" s="127"/>
      <c r="E43" s="245"/>
      <c r="F43" s="271"/>
      <c r="G43" s="280"/>
      <c r="H43" s="273"/>
      <c r="I43" s="271"/>
      <c r="J43" s="271"/>
      <c r="K43" s="271"/>
      <c r="L43" s="129"/>
      <c r="M43" s="333"/>
      <c r="O43" s="128"/>
      <c r="P43" s="130"/>
    </row>
    <row r="44" spans="1:16" s="125" customFormat="1" ht="12.75">
      <c r="A44" s="134" t="s">
        <v>325</v>
      </c>
      <c r="B44" s="151" t="s">
        <v>403</v>
      </c>
      <c r="C44" s="194" t="s">
        <v>402</v>
      </c>
      <c r="D44" s="127" t="s">
        <v>23</v>
      </c>
      <c r="E44" s="245">
        <f>454.32</f>
        <v>454.32</v>
      </c>
      <c r="F44" s="271">
        <v>53.05</v>
      </c>
      <c r="G44" s="271">
        <v>24.2</v>
      </c>
      <c r="H44" s="273">
        <f aca="true" t="shared" si="0" ref="H44:H50">G44+F44</f>
        <v>77.25</v>
      </c>
      <c r="I44" s="271">
        <f aca="true" t="shared" si="1" ref="I44:I50">F44*E44</f>
        <v>24101.68</v>
      </c>
      <c r="J44" s="271">
        <f aca="true" t="shared" si="2" ref="J44:J50">G44*E44</f>
        <v>10994.54</v>
      </c>
      <c r="K44" s="271">
        <f aca="true" t="shared" si="3" ref="K44:K50">I44+J44</f>
        <v>35096.22</v>
      </c>
      <c r="L44" s="129"/>
      <c r="M44" s="333"/>
      <c r="O44" s="128">
        <v>68</v>
      </c>
      <c r="P44" s="130">
        <v>32</v>
      </c>
    </row>
    <row r="45" spans="1:16" s="125" customFormat="1" ht="25.5">
      <c r="A45" s="134" t="s">
        <v>326</v>
      </c>
      <c r="B45" s="134" t="s">
        <v>404</v>
      </c>
      <c r="C45" s="197" t="s">
        <v>226</v>
      </c>
      <c r="D45" s="127" t="s">
        <v>23</v>
      </c>
      <c r="E45" s="245">
        <v>52.81</v>
      </c>
      <c r="F45" s="271">
        <f>19.69+2.51+0.45</f>
        <v>22.65</v>
      </c>
      <c r="G45" s="271">
        <f>18.35+5.13</f>
        <v>23.48</v>
      </c>
      <c r="H45" s="273">
        <f>G45+F45</f>
        <v>46.13</v>
      </c>
      <c r="I45" s="271">
        <f t="shared" si="1"/>
        <v>1196.15</v>
      </c>
      <c r="J45" s="271">
        <f t="shared" si="2"/>
        <v>1239.98</v>
      </c>
      <c r="K45" s="271">
        <f t="shared" si="3"/>
        <v>2436.13</v>
      </c>
      <c r="L45" s="129"/>
      <c r="M45" s="333"/>
      <c r="O45" s="128">
        <v>119.37</v>
      </c>
      <c r="P45" s="130">
        <v>45</v>
      </c>
    </row>
    <row r="46" spans="1:16" s="225" customFormat="1" ht="25.5">
      <c r="A46" s="134" t="s">
        <v>327</v>
      </c>
      <c r="B46" s="134" t="s">
        <v>405</v>
      </c>
      <c r="C46" s="197" t="s">
        <v>223</v>
      </c>
      <c r="D46" s="127" t="s">
        <v>23</v>
      </c>
      <c r="E46" s="245">
        <f>5.8</f>
        <v>5.8</v>
      </c>
      <c r="F46" s="271">
        <f>71+0.7+10.04</f>
        <v>81.74</v>
      </c>
      <c r="G46" s="271">
        <f>13.47+4.97</f>
        <v>18.44</v>
      </c>
      <c r="H46" s="273">
        <f t="shared" si="0"/>
        <v>100.18</v>
      </c>
      <c r="I46" s="271">
        <f t="shared" si="1"/>
        <v>474.09</v>
      </c>
      <c r="J46" s="271">
        <f t="shared" si="2"/>
        <v>106.95</v>
      </c>
      <c r="K46" s="271">
        <f t="shared" si="3"/>
        <v>581.04</v>
      </c>
      <c r="L46" s="129"/>
      <c r="M46" s="333"/>
      <c r="N46" s="125"/>
      <c r="O46" s="223"/>
      <c r="P46" s="223"/>
    </row>
    <row r="47" spans="1:16" s="225" customFormat="1" ht="12.75">
      <c r="A47" s="134" t="s">
        <v>328</v>
      </c>
      <c r="B47" s="134" t="s">
        <v>521</v>
      </c>
      <c r="C47" s="197" t="s">
        <v>311</v>
      </c>
      <c r="D47" s="127" t="s">
        <v>50</v>
      </c>
      <c r="E47" s="245">
        <f>20</f>
        <v>20</v>
      </c>
      <c r="F47" s="271">
        <f>74.36+10.86</f>
        <v>85.22</v>
      </c>
      <c r="G47" s="271">
        <f>14.98</f>
        <v>14.98</v>
      </c>
      <c r="H47" s="273">
        <f t="shared" si="0"/>
        <v>100.2</v>
      </c>
      <c r="I47" s="271">
        <f t="shared" si="1"/>
        <v>1704.4</v>
      </c>
      <c r="J47" s="271">
        <f t="shared" si="2"/>
        <v>299.6</v>
      </c>
      <c r="K47" s="271">
        <f t="shared" si="3"/>
        <v>2004</v>
      </c>
      <c r="L47" s="129"/>
      <c r="M47" s="333"/>
      <c r="N47" s="125"/>
      <c r="O47" s="223"/>
      <c r="P47" s="223"/>
    </row>
    <row r="48" spans="1:16" s="225" customFormat="1" ht="40.5">
      <c r="A48" s="134" t="s">
        <v>329</v>
      </c>
      <c r="B48" s="134" t="s">
        <v>406</v>
      </c>
      <c r="C48" s="357" t="s">
        <v>391</v>
      </c>
      <c r="D48" s="127" t="s">
        <v>23</v>
      </c>
      <c r="E48" s="245">
        <v>481.88</v>
      </c>
      <c r="F48" s="271">
        <f>42.92+4.71</f>
        <v>47.63</v>
      </c>
      <c r="G48" s="271">
        <f>8.65+3.55</f>
        <v>12.2</v>
      </c>
      <c r="H48" s="273">
        <f t="shared" si="0"/>
        <v>59.83</v>
      </c>
      <c r="I48" s="271">
        <f t="shared" si="1"/>
        <v>22951.94</v>
      </c>
      <c r="J48" s="271">
        <f t="shared" si="2"/>
        <v>5878.94</v>
      </c>
      <c r="K48" s="271">
        <f t="shared" si="3"/>
        <v>28830.88</v>
      </c>
      <c r="L48" s="129"/>
      <c r="M48" s="333"/>
      <c r="N48" s="125"/>
      <c r="O48" s="223"/>
      <c r="P48" s="223"/>
    </row>
    <row r="49" spans="1:16" s="225" customFormat="1" ht="25.5">
      <c r="A49" s="134" t="s">
        <v>388</v>
      </c>
      <c r="B49" s="134" t="s">
        <v>407</v>
      </c>
      <c r="C49" s="197" t="s">
        <v>387</v>
      </c>
      <c r="D49" s="127" t="s">
        <v>23</v>
      </c>
      <c r="E49" s="245">
        <f>E44</f>
        <v>454.32</v>
      </c>
      <c r="F49" s="271">
        <f>25.6+22.54+0.25+2.3+0.91</f>
        <v>51.6</v>
      </c>
      <c r="G49" s="271">
        <f>4.02+3.11+5.29</f>
        <v>12.42</v>
      </c>
      <c r="H49" s="273">
        <f t="shared" si="0"/>
        <v>64.02</v>
      </c>
      <c r="I49" s="271">
        <f t="shared" si="1"/>
        <v>23442.91</v>
      </c>
      <c r="J49" s="271">
        <f t="shared" si="2"/>
        <v>5642.65</v>
      </c>
      <c r="K49" s="271">
        <f t="shared" si="3"/>
        <v>29085.56</v>
      </c>
      <c r="L49" s="129"/>
      <c r="M49" s="333"/>
      <c r="N49" s="125"/>
      <c r="O49" s="223"/>
      <c r="P49" s="223"/>
    </row>
    <row r="50" spans="1:16" s="225" customFormat="1" ht="25.5">
      <c r="A50" s="134" t="s">
        <v>389</v>
      </c>
      <c r="B50" s="134" t="s">
        <v>408</v>
      </c>
      <c r="C50" s="197" t="s">
        <v>390</v>
      </c>
      <c r="D50" s="127" t="s">
        <v>23</v>
      </c>
      <c r="E50" s="245">
        <f>E48</f>
        <v>481.88</v>
      </c>
      <c r="F50" s="271">
        <f>0.2+5.22</f>
        <v>5.42</v>
      </c>
      <c r="G50" s="271">
        <f>15.57+13.24+4.89</f>
        <v>33.7</v>
      </c>
      <c r="H50" s="273">
        <f t="shared" si="0"/>
        <v>39.12</v>
      </c>
      <c r="I50" s="271">
        <f t="shared" si="1"/>
        <v>2611.79</v>
      </c>
      <c r="J50" s="271">
        <f t="shared" si="2"/>
        <v>16239.36</v>
      </c>
      <c r="K50" s="271">
        <f t="shared" si="3"/>
        <v>18851.15</v>
      </c>
      <c r="L50" s="129"/>
      <c r="M50" s="333"/>
      <c r="N50" s="125"/>
      <c r="O50" s="223"/>
      <c r="P50" s="223"/>
    </row>
    <row r="51" spans="1:16" s="125" customFormat="1" ht="12.75">
      <c r="A51" s="228"/>
      <c r="B51" s="228"/>
      <c r="C51" s="222" t="s">
        <v>137</v>
      </c>
      <c r="D51" s="228"/>
      <c r="E51" s="255"/>
      <c r="F51" s="286"/>
      <c r="G51" s="286"/>
      <c r="H51" s="286"/>
      <c r="I51" s="286"/>
      <c r="J51" s="286"/>
      <c r="K51" s="286"/>
      <c r="L51" s="229">
        <f>SUM(K44:K50)</f>
        <v>116884.98</v>
      </c>
      <c r="M51" s="342"/>
      <c r="N51" s="323"/>
      <c r="O51" s="128"/>
      <c r="P51" s="130"/>
    </row>
    <row r="52" spans="1:16" s="1" customFormat="1" ht="12.75">
      <c r="A52" s="106" t="s">
        <v>330</v>
      </c>
      <c r="B52" s="106"/>
      <c r="C52" s="104" t="s">
        <v>239</v>
      </c>
      <c r="D52" s="127"/>
      <c r="E52" s="245"/>
      <c r="F52" s="271"/>
      <c r="G52" s="280"/>
      <c r="H52" s="273"/>
      <c r="I52" s="271"/>
      <c r="J52" s="271"/>
      <c r="K52" s="271"/>
      <c r="L52" s="129"/>
      <c r="M52" s="333"/>
      <c r="N52" s="125"/>
      <c r="O52" s="113">
        <v>15.4</v>
      </c>
      <c r="P52" s="120">
        <v>14.24</v>
      </c>
    </row>
    <row r="53" spans="1:16" s="225" customFormat="1" ht="12.75">
      <c r="A53" s="151" t="s">
        <v>331</v>
      </c>
      <c r="B53" s="151" t="s">
        <v>403</v>
      </c>
      <c r="C53" s="194" t="s">
        <v>312</v>
      </c>
      <c r="D53" s="119" t="s">
        <v>23</v>
      </c>
      <c r="E53" s="256">
        <f>389.45</f>
        <v>389.45</v>
      </c>
      <c r="F53" s="271">
        <v>54.5</v>
      </c>
      <c r="G53" s="271">
        <f>31.82+40.94</f>
        <v>72.76</v>
      </c>
      <c r="H53" s="285">
        <f>G53+F53</f>
        <v>127.26</v>
      </c>
      <c r="I53" s="284">
        <f>F53*E53</f>
        <v>21225.03</v>
      </c>
      <c r="J53" s="284">
        <f>G53*E53</f>
        <v>28336.38</v>
      </c>
      <c r="K53" s="284">
        <f>I53+J53</f>
        <v>49561.41</v>
      </c>
      <c r="L53" s="121"/>
      <c r="M53" s="343"/>
      <c r="N53" s="1"/>
      <c r="O53" s="223"/>
      <c r="P53" s="223"/>
    </row>
    <row r="54" spans="1:16" s="125" customFormat="1" ht="12.75">
      <c r="A54" s="226"/>
      <c r="B54" s="226"/>
      <c r="C54" s="222" t="s">
        <v>137</v>
      </c>
      <c r="D54" s="226"/>
      <c r="E54" s="251"/>
      <c r="F54" s="275"/>
      <c r="G54" s="275"/>
      <c r="H54" s="282"/>
      <c r="I54" s="275"/>
      <c r="J54" s="275"/>
      <c r="K54" s="275"/>
      <c r="L54" s="224">
        <f>SUM(K53:K53)</f>
        <v>49561.41</v>
      </c>
      <c r="M54" s="341"/>
      <c r="N54" s="225"/>
      <c r="O54" s="128"/>
      <c r="P54" s="130"/>
    </row>
    <row r="55" spans="1:16" s="125" customFormat="1" ht="12.75">
      <c r="A55" s="106" t="s">
        <v>332</v>
      </c>
      <c r="B55" s="106"/>
      <c r="C55" s="104" t="s">
        <v>240</v>
      </c>
      <c r="D55" s="127"/>
      <c r="E55" s="245"/>
      <c r="F55" s="271"/>
      <c r="G55" s="280"/>
      <c r="H55" s="273"/>
      <c r="I55" s="271"/>
      <c r="J55" s="271"/>
      <c r="K55" s="271"/>
      <c r="L55" s="129"/>
      <c r="M55" s="333"/>
      <c r="N55" s="238"/>
      <c r="O55" s="128">
        <v>11.94</v>
      </c>
      <c r="P55" s="130">
        <v>6.9</v>
      </c>
    </row>
    <row r="56" spans="1:16" s="125" customFormat="1" ht="25.5">
      <c r="A56" s="127" t="s">
        <v>333</v>
      </c>
      <c r="B56" s="127" t="s">
        <v>409</v>
      </c>
      <c r="C56" s="194" t="s">
        <v>222</v>
      </c>
      <c r="D56" s="127" t="s">
        <v>23</v>
      </c>
      <c r="E56" s="245">
        <v>111.11</v>
      </c>
      <c r="F56" s="271">
        <f>1.39+11.42</f>
        <v>12.81</v>
      </c>
      <c r="G56" s="271">
        <f>24.8+0.1+0.32</f>
        <v>25.22</v>
      </c>
      <c r="H56" s="273">
        <f>G56+F56</f>
        <v>38.03</v>
      </c>
      <c r="I56" s="271">
        <f>F56*E56</f>
        <v>1423.32</v>
      </c>
      <c r="J56" s="271">
        <f>G56*E56</f>
        <v>2802.19</v>
      </c>
      <c r="K56" s="271">
        <f>I56+J56</f>
        <v>4225.51</v>
      </c>
      <c r="L56" s="129"/>
      <c r="M56" s="333"/>
      <c r="N56" s="238"/>
      <c r="O56" s="128">
        <v>8.65</v>
      </c>
      <c r="P56" s="130">
        <v>5.9</v>
      </c>
    </row>
    <row r="57" spans="1:16" s="125" customFormat="1" ht="12.75">
      <c r="A57" s="226"/>
      <c r="B57" s="226"/>
      <c r="C57" s="222" t="s">
        <v>137</v>
      </c>
      <c r="D57" s="226"/>
      <c r="E57" s="251"/>
      <c r="F57" s="275"/>
      <c r="G57" s="275"/>
      <c r="H57" s="282"/>
      <c r="I57" s="275"/>
      <c r="J57" s="275"/>
      <c r="K57" s="275"/>
      <c r="L57" s="224">
        <f>SUM(K56:K56)</f>
        <v>4225.51</v>
      </c>
      <c r="M57" s="341"/>
      <c r="N57" s="238"/>
      <c r="O57" s="128"/>
      <c r="P57" s="130"/>
    </row>
    <row r="58" spans="1:16" s="125" customFormat="1" ht="12.75">
      <c r="A58" s="106" t="s">
        <v>334</v>
      </c>
      <c r="B58" s="106"/>
      <c r="C58" s="104" t="s">
        <v>241</v>
      </c>
      <c r="D58" s="127"/>
      <c r="E58" s="245"/>
      <c r="F58" s="271"/>
      <c r="G58" s="280"/>
      <c r="H58" s="273"/>
      <c r="I58" s="271"/>
      <c r="J58" s="271"/>
      <c r="K58" s="271"/>
      <c r="L58" s="129"/>
      <c r="M58" s="333"/>
      <c r="N58" s="238"/>
      <c r="O58" s="128">
        <v>3.19</v>
      </c>
      <c r="P58" s="130">
        <v>5.92</v>
      </c>
    </row>
    <row r="59" spans="1:16" s="125" customFormat="1" ht="12.75">
      <c r="A59" s="127" t="s">
        <v>335</v>
      </c>
      <c r="B59" s="127" t="s">
        <v>410</v>
      </c>
      <c r="C59" s="194" t="s">
        <v>216</v>
      </c>
      <c r="D59" s="127" t="s">
        <v>23</v>
      </c>
      <c r="E59" s="245">
        <v>52.81</v>
      </c>
      <c r="F59" s="271">
        <f>0.06+3.6</f>
        <v>3.66</v>
      </c>
      <c r="G59" s="271">
        <f>15.82+4.09</f>
        <v>19.91</v>
      </c>
      <c r="H59" s="273">
        <f>G59+F59</f>
        <v>23.57</v>
      </c>
      <c r="I59" s="271">
        <f>F59*E59</f>
        <v>193.28</v>
      </c>
      <c r="J59" s="271">
        <f>G59*E59</f>
        <v>1051.45</v>
      </c>
      <c r="K59" s="271">
        <f>I59+J59</f>
        <v>1244.73</v>
      </c>
      <c r="L59" s="129"/>
      <c r="M59" s="333"/>
      <c r="N59" s="238"/>
      <c r="O59" s="128">
        <v>3.35</v>
      </c>
      <c r="P59" s="130">
        <v>6.5</v>
      </c>
    </row>
    <row r="60" spans="1:16" s="125" customFormat="1" ht="12.75">
      <c r="A60" s="127" t="s">
        <v>336</v>
      </c>
      <c r="B60" s="127" t="s">
        <v>411</v>
      </c>
      <c r="C60" s="194" t="s">
        <v>217</v>
      </c>
      <c r="D60" s="127" t="s">
        <v>23</v>
      </c>
      <c r="E60" s="245">
        <f>35.06*3</f>
        <v>105.18</v>
      </c>
      <c r="F60" s="271">
        <f>3.6+0.06</f>
        <v>3.66</v>
      </c>
      <c r="G60" s="271">
        <f>7.34+1.89</f>
        <v>9.23</v>
      </c>
      <c r="H60" s="273">
        <f>G60+F60</f>
        <v>12.89</v>
      </c>
      <c r="I60" s="271">
        <f>F60*E60</f>
        <v>384.96</v>
      </c>
      <c r="J60" s="271">
        <f>G60*E60</f>
        <v>970.81</v>
      </c>
      <c r="K60" s="271">
        <f>I60+J60</f>
        <v>1355.77</v>
      </c>
      <c r="L60" s="129"/>
      <c r="M60" s="333"/>
      <c r="N60" s="238"/>
      <c r="O60" s="128">
        <v>3.41</v>
      </c>
      <c r="P60" s="130">
        <v>1.86</v>
      </c>
    </row>
    <row r="61" spans="1:16" s="125" customFormat="1" ht="12.75">
      <c r="A61" s="127" t="s">
        <v>337</v>
      </c>
      <c r="B61" s="127" t="s">
        <v>412</v>
      </c>
      <c r="C61" s="194" t="s">
        <v>215</v>
      </c>
      <c r="D61" s="127" t="s">
        <v>23</v>
      </c>
      <c r="E61" s="245">
        <f>E59</f>
        <v>52.81</v>
      </c>
      <c r="F61" s="271">
        <f>6.76</f>
        <v>6.76</v>
      </c>
      <c r="G61" s="271">
        <f>5.74+1.47</f>
        <v>7.21</v>
      </c>
      <c r="H61" s="273">
        <f>G61+F61</f>
        <v>13.97</v>
      </c>
      <c r="I61" s="271">
        <f>F61*E61</f>
        <v>357</v>
      </c>
      <c r="J61" s="271">
        <f>G61*E61</f>
        <v>380.76</v>
      </c>
      <c r="K61" s="271">
        <f>I61+J61</f>
        <v>737.76</v>
      </c>
      <c r="L61" s="129"/>
      <c r="M61" s="333"/>
      <c r="N61" s="238"/>
      <c r="O61" s="128">
        <v>4.76</v>
      </c>
      <c r="P61" s="130">
        <v>3.25</v>
      </c>
    </row>
    <row r="62" spans="1:16" s="125" customFormat="1" ht="12.75">
      <c r="A62" s="127" t="s">
        <v>338</v>
      </c>
      <c r="B62" s="127" t="s">
        <v>413</v>
      </c>
      <c r="C62" s="194" t="s">
        <v>300</v>
      </c>
      <c r="D62" s="127" t="s">
        <v>23</v>
      </c>
      <c r="E62" s="245">
        <f>E60</f>
        <v>105.18</v>
      </c>
      <c r="F62" s="271">
        <f>6.76</f>
        <v>6.76</v>
      </c>
      <c r="G62" s="271">
        <f>4.4+1.14</f>
        <v>5.54</v>
      </c>
      <c r="H62" s="273">
        <f>G62+F62</f>
        <v>12.3</v>
      </c>
      <c r="I62" s="271">
        <f>F62*E62</f>
        <v>711.02</v>
      </c>
      <c r="J62" s="271">
        <f>G62*E62</f>
        <v>582.7</v>
      </c>
      <c r="K62" s="271">
        <f>I62+J62</f>
        <v>1293.72</v>
      </c>
      <c r="L62" s="129"/>
      <c r="M62" s="333"/>
      <c r="N62" s="238"/>
      <c r="O62" s="128">
        <v>7.79</v>
      </c>
      <c r="P62" s="130">
        <v>4.32</v>
      </c>
    </row>
    <row r="63" spans="1:16" s="125" customFormat="1" ht="12.75">
      <c r="A63" s="226"/>
      <c r="B63" s="226"/>
      <c r="C63" s="222" t="s">
        <v>137</v>
      </c>
      <c r="D63" s="226"/>
      <c r="E63" s="251"/>
      <c r="F63" s="275"/>
      <c r="G63" s="275"/>
      <c r="H63" s="282"/>
      <c r="I63" s="275"/>
      <c r="J63" s="275"/>
      <c r="K63" s="275"/>
      <c r="L63" s="224">
        <f>SUM(K59:K62)</f>
        <v>4631.98</v>
      </c>
      <c r="M63" s="341"/>
      <c r="N63" s="238"/>
      <c r="O63" s="128"/>
      <c r="P63" s="130"/>
    </row>
    <row r="64" spans="1:16" s="125" customFormat="1" ht="12.75">
      <c r="A64" s="106" t="s">
        <v>339</v>
      </c>
      <c r="B64" s="106"/>
      <c r="C64" s="104" t="s">
        <v>242</v>
      </c>
      <c r="D64" s="127"/>
      <c r="E64" s="245"/>
      <c r="F64" s="271"/>
      <c r="G64" s="280"/>
      <c r="H64" s="273"/>
      <c r="I64" s="271"/>
      <c r="J64" s="271"/>
      <c r="K64" s="271"/>
      <c r="L64" s="129"/>
      <c r="M64" s="333"/>
      <c r="N64" s="238"/>
      <c r="O64" s="128"/>
      <c r="P64" s="130"/>
    </row>
    <row r="65" spans="1:16" s="125" customFormat="1" ht="12.75">
      <c r="A65" s="106" t="s">
        <v>340</v>
      </c>
      <c r="B65" s="106"/>
      <c r="C65" s="104" t="s">
        <v>218</v>
      </c>
      <c r="D65" s="127"/>
      <c r="E65" s="245"/>
      <c r="F65" s="271"/>
      <c r="G65" s="280"/>
      <c r="H65" s="273"/>
      <c r="I65" s="271"/>
      <c r="J65" s="271"/>
      <c r="K65" s="271"/>
      <c r="L65" s="129"/>
      <c r="M65" s="333"/>
      <c r="N65" s="238"/>
      <c r="O65" s="128">
        <v>6.8</v>
      </c>
      <c r="P65" s="130">
        <v>4.19</v>
      </c>
    </row>
    <row r="66" spans="1:16" s="125" customFormat="1" ht="12.75">
      <c r="A66" s="127" t="s">
        <v>341</v>
      </c>
      <c r="B66" s="127" t="s">
        <v>459</v>
      </c>
      <c r="C66" s="194" t="s">
        <v>458</v>
      </c>
      <c r="D66" s="127" t="s">
        <v>23</v>
      </c>
      <c r="E66" s="245">
        <f>E44+E53+60.72</f>
        <v>904.49</v>
      </c>
      <c r="F66" s="271">
        <f>36.67+6.35+3.65+2.33</f>
        <v>49</v>
      </c>
      <c r="G66" s="271">
        <f>55.97+59.2</f>
        <v>115.17</v>
      </c>
      <c r="H66" s="273">
        <f>G66+F66</f>
        <v>164.17</v>
      </c>
      <c r="I66" s="271">
        <f>F66*E66</f>
        <v>44320.01</v>
      </c>
      <c r="J66" s="271">
        <f>G66*E66</f>
        <v>104170.11</v>
      </c>
      <c r="K66" s="271">
        <f>I66+J66</f>
        <v>148490.12</v>
      </c>
      <c r="L66" s="129"/>
      <c r="M66" s="333"/>
      <c r="N66" s="238"/>
      <c r="O66" s="128">
        <v>33.01</v>
      </c>
      <c r="P66" s="130">
        <v>8.4</v>
      </c>
    </row>
    <row r="67" spans="1:16" s="125" customFormat="1" ht="25.5">
      <c r="A67" s="127" t="s">
        <v>342</v>
      </c>
      <c r="B67" s="127" t="s">
        <v>414</v>
      </c>
      <c r="C67" s="194" t="s">
        <v>219</v>
      </c>
      <c r="D67" s="127" t="s">
        <v>23</v>
      </c>
      <c r="E67" s="245">
        <f>E66</f>
        <v>904.49</v>
      </c>
      <c r="F67" s="271">
        <f>1.65+19.16</f>
        <v>20.81</v>
      </c>
      <c r="G67" s="271">
        <f>14.79+2.2</f>
        <v>16.99</v>
      </c>
      <c r="H67" s="273">
        <f>G67+F67</f>
        <v>37.8</v>
      </c>
      <c r="I67" s="271">
        <f>F67*E67</f>
        <v>18822.44</v>
      </c>
      <c r="J67" s="271">
        <f>G67*E67</f>
        <v>15367.29</v>
      </c>
      <c r="K67" s="271">
        <f>I67+J67</f>
        <v>34189.73</v>
      </c>
      <c r="L67" s="129"/>
      <c r="M67" s="333"/>
      <c r="O67" s="128">
        <v>9.53</v>
      </c>
      <c r="P67" s="130">
        <v>5.87</v>
      </c>
    </row>
    <row r="68" spans="1:16" s="125" customFormat="1" ht="12.75">
      <c r="A68" s="127" t="s">
        <v>343</v>
      </c>
      <c r="B68" s="127" t="s">
        <v>415</v>
      </c>
      <c r="C68" s="194" t="s">
        <v>220</v>
      </c>
      <c r="D68" s="127" t="s">
        <v>23</v>
      </c>
      <c r="E68" s="245">
        <f>E66</f>
        <v>904.49</v>
      </c>
      <c r="F68" s="271">
        <f>7.91</f>
        <v>7.91</v>
      </c>
      <c r="G68" s="271">
        <f>3.23</f>
        <v>3.23</v>
      </c>
      <c r="H68" s="273">
        <f>G68+F68</f>
        <v>11.14</v>
      </c>
      <c r="I68" s="271">
        <f>F68*E68</f>
        <v>7154.52</v>
      </c>
      <c r="J68" s="271">
        <f>G68*E68</f>
        <v>2921.5</v>
      </c>
      <c r="K68" s="271">
        <f>I68+J68</f>
        <v>10076.02</v>
      </c>
      <c r="L68" s="129"/>
      <c r="M68" s="333"/>
      <c r="O68" s="128"/>
      <c r="P68" s="130"/>
    </row>
    <row r="69" spans="1:16" s="125" customFormat="1" ht="12.75">
      <c r="A69" s="226"/>
      <c r="B69" s="226"/>
      <c r="C69" s="222" t="s">
        <v>137</v>
      </c>
      <c r="D69" s="226"/>
      <c r="E69" s="251"/>
      <c r="F69" s="275"/>
      <c r="G69" s="275"/>
      <c r="H69" s="282"/>
      <c r="I69" s="275"/>
      <c r="J69" s="275"/>
      <c r="K69" s="275"/>
      <c r="L69" s="224">
        <f>SUM(K66:K68)</f>
        <v>192755.87</v>
      </c>
      <c r="M69" s="341"/>
      <c r="N69" s="225"/>
      <c r="O69" s="128"/>
      <c r="P69" s="130"/>
    </row>
    <row r="70" spans="1:16" s="125" customFormat="1" ht="12.75">
      <c r="A70" s="107" t="s">
        <v>344</v>
      </c>
      <c r="B70" s="107"/>
      <c r="C70" s="103" t="s">
        <v>1</v>
      </c>
      <c r="D70" s="133"/>
      <c r="E70" s="252"/>
      <c r="F70" s="271"/>
      <c r="G70" s="280"/>
      <c r="H70" s="273"/>
      <c r="I70" s="287"/>
      <c r="J70" s="287"/>
      <c r="K70" s="287"/>
      <c r="L70" s="135"/>
      <c r="M70" s="344"/>
      <c r="O70" s="128">
        <v>218.22</v>
      </c>
      <c r="P70" s="130">
        <v>30.37</v>
      </c>
    </row>
    <row r="71" spans="1:16" s="125" customFormat="1" ht="25.5">
      <c r="A71" s="134" t="s">
        <v>345</v>
      </c>
      <c r="B71" s="134" t="s">
        <v>464</v>
      </c>
      <c r="C71" s="199" t="s">
        <v>463</v>
      </c>
      <c r="D71" s="134" t="s">
        <v>26</v>
      </c>
      <c r="E71" s="252">
        <v>1</v>
      </c>
      <c r="F71" s="271">
        <f>556.7</f>
        <v>556.7</v>
      </c>
      <c r="G71" s="271">
        <v>20.81</v>
      </c>
      <c r="H71" s="273">
        <f aca="true" t="shared" si="4" ref="H71:H77">G71+F71</f>
        <v>577.51</v>
      </c>
      <c r="I71" s="271">
        <f aca="true" t="shared" si="5" ref="I71:I77">F71*E71</f>
        <v>556.7</v>
      </c>
      <c r="J71" s="271">
        <f aca="true" t="shared" si="6" ref="J71:J77">G71*E71</f>
        <v>20.81</v>
      </c>
      <c r="K71" s="271">
        <f aca="true" t="shared" si="7" ref="K71:K77">I71+J71</f>
        <v>577.51</v>
      </c>
      <c r="L71" s="132"/>
      <c r="M71" s="356"/>
      <c r="O71" s="128">
        <v>152.38</v>
      </c>
      <c r="P71" s="130">
        <v>21.22</v>
      </c>
    </row>
    <row r="72" spans="1:16" s="125" customFormat="1" ht="12.75">
      <c r="A72" s="134" t="s">
        <v>346</v>
      </c>
      <c r="B72" s="134" t="s">
        <v>424</v>
      </c>
      <c r="C72" s="199" t="s">
        <v>285</v>
      </c>
      <c r="D72" s="134" t="s">
        <v>26</v>
      </c>
      <c r="E72" s="252">
        <v>1</v>
      </c>
      <c r="F72" s="271">
        <f>564.93+0.053</f>
        <v>564.98</v>
      </c>
      <c r="G72" s="271">
        <f>7.295+8.645</f>
        <v>15.94</v>
      </c>
      <c r="H72" s="273">
        <f t="shared" si="4"/>
        <v>580.92</v>
      </c>
      <c r="I72" s="271">
        <f t="shared" si="5"/>
        <v>564.98</v>
      </c>
      <c r="J72" s="271">
        <f t="shared" si="6"/>
        <v>15.94</v>
      </c>
      <c r="K72" s="271">
        <f t="shared" si="7"/>
        <v>580.92</v>
      </c>
      <c r="L72" s="132"/>
      <c r="M72" s="336"/>
      <c r="O72" s="128">
        <v>17.33</v>
      </c>
      <c r="P72" s="130">
        <v>4.32</v>
      </c>
    </row>
    <row r="73" spans="1:16" s="125" customFormat="1" ht="12.75">
      <c r="A73" s="134" t="s">
        <v>347</v>
      </c>
      <c r="B73" s="134" t="s">
        <v>423</v>
      </c>
      <c r="C73" s="196" t="s">
        <v>286</v>
      </c>
      <c r="D73" s="134" t="s">
        <v>26</v>
      </c>
      <c r="E73" s="252">
        <v>1</v>
      </c>
      <c r="F73" s="271">
        <f>0.26+24.84</f>
        <v>25.1</v>
      </c>
      <c r="G73" s="271">
        <f>5.48+8.73</f>
        <v>14.21</v>
      </c>
      <c r="H73" s="273">
        <f t="shared" si="4"/>
        <v>39.31</v>
      </c>
      <c r="I73" s="271">
        <f t="shared" si="5"/>
        <v>25.1</v>
      </c>
      <c r="J73" s="271">
        <f t="shared" si="6"/>
        <v>14.21</v>
      </c>
      <c r="K73" s="271">
        <f t="shared" si="7"/>
        <v>39.31</v>
      </c>
      <c r="L73" s="132"/>
      <c r="M73" s="336"/>
      <c r="O73" s="128">
        <v>45.15</v>
      </c>
      <c r="P73" s="130">
        <v>11.25</v>
      </c>
    </row>
    <row r="74" spans="1:16" s="125" customFormat="1" ht="12.75">
      <c r="A74" s="134" t="s">
        <v>348</v>
      </c>
      <c r="B74" s="134" t="s">
        <v>416</v>
      </c>
      <c r="C74" s="199" t="s">
        <v>287</v>
      </c>
      <c r="D74" s="134" t="s">
        <v>26</v>
      </c>
      <c r="E74" s="252">
        <v>12</v>
      </c>
      <c r="F74" s="271">
        <v>174.14</v>
      </c>
      <c r="G74" s="271">
        <v>0</v>
      </c>
      <c r="H74" s="273">
        <f t="shared" si="4"/>
        <v>174.14</v>
      </c>
      <c r="I74" s="271">
        <f t="shared" si="5"/>
        <v>2089.68</v>
      </c>
      <c r="J74" s="271">
        <f t="shared" si="6"/>
        <v>0</v>
      </c>
      <c r="K74" s="271">
        <f t="shared" si="7"/>
        <v>2089.68</v>
      </c>
      <c r="L74" s="132"/>
      <c r="M74" s="336"/>
      <c r="O74" s="128"/>
      <c r="P74" s="130"/>
    </row>
    <row r="75" spans="1:16" s="125" customFormat="1" ht="25.5">
      <c r="A75" s="134" t="s">
        <v>349</v>
      </c>
      <c r="B75" s="134" t="s">
        <v>420</v>
      </c>
      <c r="C75" s="199" t="s">
        <v>288</v>
      </c>
      <c r="D75" s="134" t="s">
        <v>26</v>
      </c>
      <c r="E75" s="252">
        <v>1</v>
      </c>
      <c r="F75" s="271">
        <f>119.25+293.76</f>
        <v>413.01</v>
      </c>
      <c r="G75" s="271">
        <f>31.34+7.43</f>
        <v>38.77</v>
      </c>
      <c r="H75" s="273">
        <f t="shared" si="4"/>
        <v>451.78</v>
      </c>
      <c r="I75" s="271">
        <f t="shared" si="5"/>
        <v>413.01</v>
      </c>
      <c r="J75" s="271">
        <f t="shared" si="6"/>
        <v>38.77</v>
      </c>
      <c r="K75" s="271">
        <f>I75+J75</f>
        <v>451.78</v>
      </c>
      <c r="L75" s="132"/>
      <c r="M75" s="336"/>
      <c r="O75" s="128"/>
      <c r="P75" s="130"/>
    </row>
    <row r="76" spans="1:16" s="125" customFormat="1" ht="25.5">
      <c r="A76" s="134" t="s">
        <v>350</v>
      </c>
      <c r="B76" s="134" t="s">
        <v>421</v>
      </c>
      <c r="C76" s="199" t="s">
        <v>290</v>
      </c>
      <c r="D76" s="134" t="s">
        <v>26</v>
      </c>
      <c r="E76" s="252">
        <v>2</v>
      </c>
      <c r="F76" s="271">
        <f>79.5+139.81</f>
        <v>219.31</v>
      </c>
      <c r="G76" s="271">
        <f>20.89+4.95</f>
        <v>25.84</v>
      </c>
      <c r="H76" s="273">
        <f t="shared" si="4"/>
        <v>245.15</v>
      </c>
      <c r="I76" s="271">
        <f t="shared" si="5"/>
        <v>438.62</v>
      </c>
      <c r="J76" s="271">
        <f t="shared" si="6"/>
        <v>51.68</v>
      </c>
      <c r="K76" s="271">
        <f t="shared" si="7"/>
        <v>490.3</v>
      </c>
      <c r="L76" s="132"/>
      <c r="M76" s="336"/>
      <c r="O76" s="128"/>
      <c r="P76" s="130"/>
    </row>
    <row r="77" spans="1:16" s="125" customFormat="1" ht="25.5">
      <c r="A77" s="134" t="s">
        <v>351</v>
      </c>
      <c r="B77" s="134" t="s">
        <v>422</v>
      </c>
      <c r="C77" s="199" t="s">
        <v>289</v>
      </c>
      <c r="D77" s="134" t="s">
        <v>26</v>
      </c>
      <c r="E77" s="252">
        <v>2</v>
      </c>
      <c r="F77" s="271">
        <f>79.5+112.69</f>
        <v>192.19</v>
      </c>
      <c r="G77" s="271">
        <f>20.89+4.95</f>
        <v>25.84</v>
      </c>
      <c r="H77" s="273">
        <f t="shared" si="4"/>
        <v>218.03</v>
      </c>
      <c r="I77" s="271">
        <f t="shared" si="5"/>
        <v>384.38</v>
      </c>
      <c r="J77" s="271">
        <f t="shared" si="6"/>
        <v>51.68</v>
      </c>
      <c r="K77" s="271">
        <f t="shared" si="7"/>
        <v>436.06</v>
      </c>
      <c r="L77" s="132"/>
      <c r="M77" s="336"/>
      <c r="O77" s="128"/>
      <c r="P77" s="130"/>
    </row>
    <row r="78" spans="1:16" s="125" customFormat="1" ht="12.75">
      <c r="A78" s="134" t="s">
        <v>352</v>
      </c>
      <c r="B78" s="359" t="s">
        <v>417</v>
      </c>
      <c r="C78" s="360" t="s">
        <v>314</v>
      </c>
      <c r="D78" s="134" t="s">
        <v>50</v>
      </c>
      <c r="E78" s="252">
        <f>3.1+3.1+1+1</f>
        <v>8.2</v>
      </c>
      <c r="F78" s="271">
        <v>300</v>
      </c>
      <c r="G78" s="271">
        <f>8.83+12.49+3.36</f>
        <v>24.68</v>
      </c>
      <c r="H78" s="273">
        <f>G78+F78</f>
        <v>324.68</v>
      </c>
      <c r="I78" s="271">
        <f>F78*E78</f>
        <v>2460</v>
      </c>
      <c r="J78" s="271">
        <f>G78*E78</f>
        <v>202.38</v>
      </c>
      <c r="K78" s="271">
        <f>I78+J78</f>
        <v>2662.38</v>
      </c>
      <c r="L78" s="132"/>
      <c r="M78" s="336"/>
      <c r="O78" s="128"/>
      <c r="P78" s="130"/>
    </row>
    <row r="79" spans="1:16" s="125" customFormat="1" ht="12.75">
      <c r="A79" s="134" t="s">
        <v>353</v>
      </c>
      <c r="B79" s="134" t="s">
        <v>419</v>
      </c>
      <c r="C79" s="199" t="s">
        <v>418</v>
      </c>
      <c r="D79" s="134" t="s">
        <v>50</v>
      </c>
      <c r="E79" s="252">
        <f>18+2.64</f>
        <v>20.64</v>
      </c>
      <c r="F79" s="271">
        <f>86.36+195.62</f>
        <v>281.98</v>
      </c>
      <c r="G79" s="271">
        <f>1.47+1.43+7.04+5.04</f>
        <v>14.98</v>
      </c>
      <c r="H79" s="273">
        <f>G79+F79</f>
        <v>296.96</v>
      </c>
      <c r="I79" s="271">
        <f>F79*E79</f>
        <v>5820.07</v>
      </c>
      <c r="J79" s="271">
        <f>G79*E79</f>
        <v>309.19</v>
      </c>
      <c r="K79" s="271">
        <f>I79+J79</f>
        <v>6129.26</v>
      </c>
      <c r="L79" s="132"/>
      <c r="M79" s="336"/>
      <c r="O79" s="128"/>
      <c r="P79" s="130"/>
    </row>
    <row r="80" spans="1:16" s="125" customFormat="1" ht="12.75">
      <c r="A80" s="134" t="s">
        <v>462</v>
      </c>
      <c r="B80" s="134" t="s">
        <v>461</v>
      </c>
      <c r="C80" s="199" t="s">
        <v>460</v>
      </c>
      <c r="D80" s="134" t="s">
        <v>243</v>
      </c>
      <c r="E80" s="252">
        <v>18</v>
      </c>
      <c r="F80" s="271">
        <v>68</v>
      </c>
      <c r="G80" s="271">
        <v>0</v>
      </c>
      <c r="H80" s="273">
        <f>G80+F80</f>
        <v>68</v>
      </c>
      <c r="I80" s="271">
        <f>F80*E80</f>
        <v>1224</v>
      </c>
      <c r="J80" s="271">
        <f>G80*E80</f>
        <v>0</v>
      </c>
      <c r="K80" s="271">
        <f>I80+J80</f>
        <v>1224</v>
      </c>
      <c r="L80" s="132"/>
      <c r="M80" s="336"/>
      <c r="O80" s="128"/>
      <c r="P80" s="130"/>
    </row>
    <row r="81" spans="1:16" s="125" customFormat="1" ht="12.75">
      <c r="A81" s="226"/>
      <c r="B81" s="226"/>
      <c r="C81" s="222" t="s">
        <v>137</v>
      </c>
      <c r="D81" s="226"/>
      <c r="E81" s="251"/>
      <c r="F81" s="275"/>
      <c r="G81" s="275"/>
      <c r="H81" s="282"/>
      <c r="I81" s="275"/>
      <c r="J81" s="275"/>
      <c r="K81" s="275"/>
      <c r="L81" s="224">
        <f>SUM(K71:K80)</f>
        <v>14681.2</v>
      </c>
      <c r="M81" s="341"/>
      <c r="N81" s="225"/>
      <c r="O81" s="128"/>
      <c r="P81" s="130"/>
    </row>
    <row r="82" spans="1:16" s="139" customFormat="1" ht="12.75">
      <c r="A82" s="152" t="s">
        <v>354</v>
      </c>
      <c r="B82" s="152"/>
      <c r="C82" s="154" t="s">
        <v>138</v>
      </c>
      <c r="D82" s="137"/>
      <c r="E82" s="253"/>
      <c r="F82" s="283"/>
      <c r="G82" s="283"/>
      <c r="H82" s="273"/>
      <c r="I82" s="283"/>
      <c r="J82" s="283"/>
      <c r="K82" s="283"/>
      <c r="L82" s="138"/>
      <c r="M82" s="345"/>
      <c r="O82" s="153"/>
      <c r="P82" s="153"/>
    </row>
    <row r="83" spans="1:16" s="139" customFormat="1" ht="24" customHeight="1">
      <c r="A83" s="137" t="s">
        <v>355</v>
      </c>
      <c r="B83" s="137" t="s">
        <v>425</v>
      </c>
      <c r="C83" s="198" t="s">
        <v>244</v>
      </c>
      <c r="D83" s="134" t="s">
        <v>23</v>
      </c>
      <c r="E83" s="253">
        <f>3.3*2</f>
        <v>6.6</v>
      </c>
      <c r="F83" s="283">
        <f>49.45+6.6+110</f>
        <v>166.05</v>
      </c>
      <c r="G83" s="283">
        <f>0.53+2.52+12.67+1.81</f>
        <v>17.53</v>
      </c>
      <c r="H83" s="273">
        <f>G83+F83</f>
        <v>183.58</v>
      </c>
      <c r="I83" s="271">
        <f>F83*E83</f>
        <v>1095.93</v>
      </c>
      <c r="J83" s="271">
        <f>G83*E83</f>
        <v>115.7</v>
      </c>
      <c r="K83" s="271">
        <f>I83+J83</f>
        <v>1211.63</v>
      </c>
      <c r="L83" s="132"/>
      <c r="M83" s="336"/>
      <c r="O83" s="153"/>
      <c r="P83" s="153"/>
    </row>
    <row r="84" spans="1:16" s="125" customFormat="1" ht="12.75">
      <c r="A84" s="226"/>
      <c r="B84" s="226"/>
      <c r="C84" s="222" t="s">
        <v>137</v>
      </c>
      <c r="D84" s="226"/>
      <c r="E84" s="251"/>
      <c r="F84" s="275"/>
      <c r="G84" s="275"/>
      <c r="H84" s="282"/>
      <c r="I84" s="275"/>
      <c r="J84" s="275"/>
      <c r="K84" s="275"/>
      <c r="L84" s="224">
        <f>SUM(K83:K83)</f>
        <v>1211.63</v>
      </c>
      <c r="M84" s="341"/>
      <c r="N84" s="225"/>
      <c r="O84" s="128"/>
      <c r="P84" s="130"/>
    </row>
    <row r="85" spans="1:16" s="125" customFormat="1" ht="12.75">
      <c r="A85" s="173"/>
      <c r="B85" s="173"/>
      <c r="C85" s="174" t="s">
        <v>142</v>
      </c>
      <c r="D85" s="173"/>
      <c r="E85" s="250"/>
      <c r="F85" s="272"/>
      <c r="G85" s="272"/>
      <c r="H85" s="278"/>
      <c r="I85" s="279">
        <f>SUM(I28:I84)</f>
        <v>196692.08</v>
      </c>
      <c r="J85" s="279">
        <f>SUM(J28:J84)</f>
        <v>207390.36</v>
      </c>
      <c r="K85" s="272"/>
      <c r="L85" s="176">
        <f>SUM(L28:L84)</f>
        <v>404082.44</v>
      </c>
      <c r="M85" s="331">
        <f>L85</f>
        <v>404082.44</v>
      </c>
      <c r="N85" s="238"/>
      <c r="O85" s="128"/>
      <c r="P85" s="130"/>
    </row>
    <row r="86" spans="1:16" s="125" customFormat="1" ht="12.75">
      <c r="A86" s="134"/>
      <c r="B86" s="134"/>
      <c r="C86" s="106"/>
      <c r="D86" s="134"/>
      <c r="E86" s="253"/>
      <c r="F86" s="271"/>
      <c r="G86" s="280"/>
      <c r="H86" s="273"/>
      <c r="I86" s="283"/>
      <c r="J86" s="283"/>
      <c r="K86" s="283"/>
      <c r="L86" s="131"/>
      <c r="M86" s="332"/>
      <c r="O86" s="128"/>
      <c r="P86" s="130"/>
    </row>
    <row r="87" spans="1:16" s="160" customFormat="1" ht="12.75">
      <c r="A87" s="155">
        <v>4</v>
      </c>
      <c r="B87" s="155"/>
      <c r="C87" s="156" t="s">
        <v>2</v>
      </c>
      <c r="D87" s="157"/>
      <c r="E87" s="257"/>
      <c r="F87" s="288"/>
      <c r="G87" s="288"/>
      <c r="H87" s="288"/>
      <c r="I87" s="288"/>
      <c r="J87" s="288"/>
      <c r="K87" s="288"/>
      <c r="L87" s="159"/>
      <c r="M87" s="346"/>
      <c r="O87" s="158"/>
      <c r="P87" s="158"/>
    </row>
    <row r="88" spans="1:16" s="160" customFormat="1" ht="12.75">
      <c r="A88" s="155" t="s">
        <v>59</v>
      </c>
      <c r="B88" s="155"/>
      <c r="C88" s="156" t="s">
        <v>49</v>
      </c>
      <c r="D88" s="157"/>
      <c r="E88" s="257"/>
      <c r="F88" s="288"/>
      <c r="G88" s="288"/>
      <c r="H88" s="288"/>
      <c r="I88" s="288"/>
      <c r="J88" s="288"/>
      <c r="K88" s="288"/>
      <c r="L88" s="159"/>
      <c r="M88" s="346"/>
      <c r="O88" s="171">
        <v>1.93</v>
      </c>
      <c r="P88" s="165">
        <v>1.44</v>
      </c>
    </row>
    <row r="89" spans="1:16" s="160" customFormat="1" ht="25.5">
      <c r="A89" s="161" t="s">
        <v>60</v>
      </c>
      <c r="B89" s="161" t="s">
        <v>426</v>
      </c>
      <c r="C89" s="201" t="s">
        <v>291</v>
      </c>
      <c r="D89" s="161" t="s">
        <v>50</v>
      </c>
      <c r="E89" s="254">
        <v>18</v>
      </c>
      <c r="F89" s="271">
        <f>2.96</f>
        <v>2.96</v>
      </c>
      <c r="G89" s="271">
        <f>0.27+0.35</f>
        <v>0.62</v>
      </c>
      <c r="H89" s="284">
        <f>F89+G89</f>
        <v>3.58</v>
      </c>
      <c r="I89" s="284">
        <f>E89*F89</f>
        <v>53.28</v>
      </c>
      <c r="J89" s="284">
        <f>E89*G89</f>
        <v>11.16</v>
      </c>
      <c r="K89" s="284">
        <f>I89+J89</f>
        <v>64.44</v>
      </c>
      <c r="L89" s="159"/>
      <c r="M89" s="346"/>
      <c r="O89" s="171"/>
      <c r="P89" s="165"/>
    </row>
    <row r="90" spans="1:16" s="160" customFormat="1" ht="25.5">
      <c r="A90" s="161" t="s">
        <v>356</v>
      </c>
      <c r="B90" s="161" t="s">
        <v>427</v>
      </c>
      <c r="C90" s="201" t="s">
        <v>292</v>
      </c>
      <c r="D90" s="161" t="s">
        <v>50</v>
      </c>
      <c r="E90" s="254">
        <v>12</v>
      </c>
      <c r="F90" s="271">
        <f>6.64</f>
        <v>6.64</v>
      </c>
      <c r="G90" s="271">
        <f>0.44+0.34</f>
        <v>0.78</v>
      </c>
      <c r="H90" s="284">
        <f>F90+G90</f>
        <v>7.42</v>
      </c>
      <c r="I90" s="284">
        <f>E90*F90</f>
        <v>79.68</v>
      </c>
      <c r="J90" s="284">
        <f>E90*G90</f>
        <v>9.36</v>
      </c>
      <c r="K90" s="284">
        <f>I90+J90</f>
        <v>89.04</v>
      </c>
      <c r="L90" s="159"/>
      <c r="M90" s="346"/>
      <c r="O90" s="171"/>
      <c r="P90" s="165"/>
    </row>
    <row r="91" spans="1:16" s="160" customFormat="1" ht="25.5">
      <c r="A91" s="161" t="s">
        <v>357</v>
      </c>
      <c r="B91" s="161" t="s">
        <v>428</v>
      </c>
      <c r="C91" s="201" t="s">
        <v>277</v>
      </c>
      <c r="D91" s="161" t="s">
        <v>50</v>
      </c>
      <c r="E91" s="254">
        <f>51.42+11.39+23.15+14.47+9.52+2+32.1+9.86+(1.74*6)+3.9+6.65+1.78-14.22+(0.75*6)+2.92+2.5+7.2</f>
        <v>179.58</v>
      </c>
      <c r="F91" s="271">
        <f>11.08+0.01</f>
        <v>11.09</v>
      </c>
      <c r="G91" s="271">
        <f>0.63+0.49</f>
        <v>1.12</v>
      </c>
      <c r="H91" s="284">
        <f>F91+G91</f>
        <v>12.21</v>
      </c>
      <c r="I91" s="284">
        <f>E91*F91</f>
        <v>1991.54</v>
      </c>
      <c r="J91" s="284">
        <f>E91*G91</f>
        <v>201.13</v>
      </c>
      <c r="K91" s="284">
        <f>I91+J91</f>
        <v>2192.67</v>
      </c>
      <c r="L91" s="159"/>
      <c r="M91" s="346"/>
      <c r="O91" s="171">
        <v>1.84</v>
      </c>
      <c r="P91" s="165">
        <v>1.44</v>
      </c>
    </row>
    <row r="92" spans="1:16" s="160" customFormat="1" ht="25.5">
      <c r="A92" s="161" t="s">
        <v>358</v>
      </c>
      <c r="B92" s="161" t="s">
        <v>429</v>
      </c>
      <c r="C92" s="201" t="s">
        <v>278</v>
      </c>
      <c r="D92" s="161" t="s">
        <v>50</v>
      </c>
      <c r="E92" s="254">
        <f>14.22</f>
        <v>14.22</v>
      </c>
      <c r="F92" s="271">
        <f>31.33+0.02</f>
        <v>31.35</v>
      </c>
      <c r="G92" s="271">
        <f>0.72+0.92</f>
        <v>1.64</v>
      </c>
      <c r="H92" s="284">
        <f>F92+G92</f>
        <v>32.99</v>
      </c>
      <c r="I92" s="284">
        <f>E92*F92</f>
        <v>445.8</v>
      </c>
      <c r="J92" s="284">
        <f>E92*G92</f>
        <v>23.32</v>
      </c>
      <c r="K92" s="284">
        <f>I92+J92</f>
        <v>469.12</v>
      </c>
      <c r="L92" s="159"/>
      <c r="M92" s="346"/>
      <c r="O92" s="171">
        <v>0.84</v>
      </c>
      <c r="P92" s="165">
        <v>1.44</v>
      </c>
    </row>
    <row r="93" spans="1:16" s="160" customFormat="1" ht="12.75">
      <c r="A93" s="230"/>
      <c r="B93" s="230"/>
      <c r="C93" s="231" t="s">
        <v>17</v>
      </c>
      <c r="D93" s="230"/>
      <c r="E93" s="255"/>
      <c r="F93" s="289"/>
      <c r="G93" s="289"/>
      <c r="H93" s="289"/>
      <c r="I93" s="289"/>
      <c r="J93" s="289"/>
      <c r="K93" s="289"/>
      <c r="L93" s="232">
        <f>SUM(K89:K92)</f>
        <v>2815.27</v>
      </c>
      <c r="M93" s="347"/>
      <c r="N93" s="233"/>
      <c r="O93" s="163"/>
      <c r="P93" s="158"/>
    </row>
    <row r="94" spans="1:16" s="160" customFormat="1" ht="12.75">
      <c r="A94" s="155" t="s">
        <v>61</v>
      </c>
      <c r="B94" s="155"/>
      <c r="C94" s="156" t="s">
        <v>18</v>
      </c>
      <c r="D94" s="161"/>
      <c r="E94" s="254"/>
      <c r="F94" s="290"/>
      <c r="G94" s="288"/>
      <c r="H94" s="288"/>
      <c r="I94" s="288"/>
      <c r="J94" s="288"/>
      <c r="K94" s="288"/>
      <c r="L94" s="159"/>
      <c r="M94" s="346"/>
      <c r="O94" s="171">
        <v>54</v>
      </c>
      <c r="P94" s="165">
        <v>9.76</v>
      </c>
    </row>
    <row r="95" spans="1:16" s="160" customFormat="1" ht="38.25">
      <c r="A95" s="161" t="s">
        <v>62</v>
      </c>
      <c r="B95" s="161" t="s">
        <v>430</v>
      </c>
      <c r="C95" s="200" t="s">
        <v>246</v>
      </c>
      <c r="D95" s="134" t="s">
        <v>243</v>
      </c>
      <c r="E95" s="254">
        <v>8</v>
      </c>
      <c r="F95" s="271">
        <f>0.48+108.73</f>
        <v>109.21</v>
      </c>
      <c r="G95" s="271">
        <f>14.05+18.02</f>
        <v>32.07</v>
      </c>
      <c r="H95" s="284">
        <f aca="true" t="shared" si="8" ref="H95:H111">F95+G95</f>
        <v>141.28</v>
      </c>
      <c r="I95" s="284">
        <f aca="true" t="shared" si="9" ref="I95:I111">E95*F95</f>
        <v>873.68</v>
      </c>
      <c r="J95" s="284">
        <f aca="true" t="shared" si="10" ref="J95:J111">E95*G95</f>
        <v>256.56</v>
      </c>
      <c r="K95" s="284">
        <f aca="true" t="shared" si="11" ref="K95:K111">I95+J95</f>
        <v>1130.24</v>
      </c>
      <c r="L95" s="159"/>
      <c r="M95" s="346"/>
      <c r="O95" s="171">
        <v>54.11</v>
      </c>
      <c r="P95" s="165">
        <v>9.76</v>
      </c>
    </row>
    <row r="96" spans="1:16" s="160" customFormat="1" ht="38.25">
      <c r="A96" s="161" t="s">
        <v>359</v>
      </c>
      <c r="B96" s="161" t="s">
        <v>431</v>
      </c>
      <c r="C96" s="200" t="s">
        <v>247</v>
      </c>
      <c r="D96" s="161" t="s">
        <v>243</v>
      </c>
      <c r="E96" s="254">
        <v>18</v>
      </c>
      <c r="F96" s="271">
        <f>0.48+225.49</f>
        <v>225.97</v>
      </c>
      <c r="G96" s="271">
        <f>14.05+18.02</f>
        <v>32.07</v>
      </c>
      <c r="H96" s="284">
        <f t="shared" si="8"/>
        <v>258.04</v>
      </c>
      <c r="I96" s="284">
        <f t="shared" si="9"/>
        <v>4067.46</v>
      </c>
      <c r="J96" s="284">
        <f t="shared" si="10"/>
        <v>577.26</v>
      </c>
      <c r="K96" s="284">
        <f t="shared" si="11"/>
        <v>4644.72</v>
      </c>
      <c r="L96" s="159"/>
      <c r="M96" s="346"/>
      <c r="O96" s="171">
        <v>64.55</v>
      </c>
      <c r="P96" s="165">
        <v>9.76</v>
      </c>
    </row>
    <row r="97" spans="1:16" s="160" customFormat="1" ht="25.5">
      <c r="A97" s="161" t="s">
        <v>360</v>
      </c>
      <c r="B97" s="161" t="s">
        <v>432</v>
      </c>
      <c r="C97" s="200" t="s">
        <v>248</v>
      </c>
      <c r="D97" s="161" t="s">
        <v>243</v>
      </c>
      <c r="E97" s="254">
        <v>11</v>
      </c>
      <c r="F97" s="271">
        <f>1.48+7.59+1.63+0.06</f>
        <v>10.76</v>
      </c>
      <c r="G97" s="271">
        <f>2.47+3.17</f>
        <v>5.64</v>
      </c>
      <c r="H97" s="284">
        <f t="shared" si="8"/>
        <v>16.4</v>
      </c>
      <c r="I97" s="284">
        <f t="shared" si="9"/>
        <v>118.36</v>
      </c>
      <c r="J97" s="284">
        <f t="shared" si="10"/>
        <v>62.04</v>
      </c>
      <c r="K97" s="284">
        <f t="shared" si="11"/>
        <v>180.4</v>
      </c>
      <c r="L97" s="159"/>
      <c r="M97" s="346"/>
      <c r="O97" s="171">
        <v>90.86</v>
      </c>
      <c r="P97" s="165">
        <v>15.2</v>
      </c>
    </row>
    <row r="98" spans="1:16" s="160" customFormat="1" ht="25.5">
      <c r="A98" s="161" t="s">
        <v>361</v>
      </c>
      <c r="B98" s="161" t="s">
        <v>433</v>
      </c>
      <c r="C98" s="200" t="s">
        <v>249</v>
      </c>
      <c r="D98" s="161" t="s">
        <v>243</v>
      </c>
      <c r="E98" s="254">
        <v>3</v>
      </c>
      <c r="F98" s="271">
        <f>3.42+45.25+3.86+0.08</f>
        <v>52.61</v>
      </c>
      <c r="G98" s="271">
        <f>3.59+4.6</f>
        <v>8.19</v>
      </c>
      <c r="H98" s="284">
        <f t="shared" si="8"/>
        <v>60.8</v>
      </c>
      <c r="I98" s="284">
        <f t="shared" si="9"/>
        <v>157.83</v>
      </c>
      <c r="J98" s="284">
        <f t="shared" si="10"/>
        <v>24.57</v>
      </c>
      <c r="K98" s="284">
        <f t="shared" si="11"/>
        <v>182.4</v>
      </c>
      <c r="L98" s="159"/>
      <c r="M98" s="346"/>
      <c r="O98" s="171">
        <v>90.86</v>
      </c>
      <c r="P98" s="165">
        <v>15.2</v>
      </c>
    </row>
    <row r="99" spans="1:16" s="160" customFormat="1" ht="25.5">
      <c r="A99" s="161" t="s">
        <v>362</v>
      </c>
      <c r="B99" s="161" t="s">
        <v>434</v>
      </c>
      <c r="C99" s="200" t="s">
        <v>250</v>
      </c>
      <c r="D99" s="161" t="s">
        <v>243</v>
      </c>
      <c r="E99" s="254">
        <v>4</v>
      </c>
      <c r="F99" s="271">
        <f>3.42+37.29+3.86+0.08</f>
        <v>44.65</v>
      </c>
      <c r="G99" s="271">
        <f>3.59+4.6</f>
        <v>8.19</v>
      </c>
      <c r="H99" s="284">
        <f t="shared" si="8"/>
        <v>52.84</v>
      </c>
      <c r="I99" s="284">
        <f t="shared" si="9"/>
        <v>178.6</v>
      </c>
      <c r="J99" s="284">
        <f t="shared" si="10"/>
        <v>32.76</v>
      </c>
      <c r="K99" s="284">
        <f t="shared" si="11"/>
        <v>211.36</v>
      </c>
      <c r="L99" s="159"/>
      <c r="M99" s="346"/>
      <c r="O99" s="171">
        <v>105.32</v>
      </c>
      <c r="P99" s="165">
        <v>15.2</v>
      </c>
    </row>
    <row r="100" spans="1:16" s="160" customFormat="1" ht="12.75">
      <c r="A100" s="161" t="s">
        <v>363</v>
      </c>
      <c r="B100" s="161" t="s">
        <v>435</v>
      </c>
      <c r="C100" s="200" t="s">
        <v>251</v>
      </c>
      <c r="D100" s="161" t="s">
        <v>243</v>
      </c>
      <c r="E100" s="254">
        <v>2</v>
      </c>
      <c r="F100" s="271">
        <f>1.83+0.02+1.49+11.92+0.39</f>
        <v>15.65</v>
      </c>
      <c r="G100" s="271">
        <f>6.03+7.73</f>
        <v>13.76</v>
      </c>
      <c r="H100" s="284">
        <f t="shared" si="8"/>
        <v>29.41</v>
      </c>
      <c r="I100" s="284">
        <f t="shared" si="9"/>
        <v>31.3</v>
      </c>
      <c r="J100" s="284">
        <f t="shared" si="10"/>
        <v>27.52</v>
      </c>
      <c r="K100" s="284">
        <f t="shared" si="11"/>
        <v>58.82</v>
      </c>
      <c r="L100" s="159"/>
      <c r="M100" s="346"/>
      <c r="O100" s="171">
        <v>54.38</v>
      </c>
      <c r="P100" s="165">
        <v>9.76</v>
      </c>
    </row>
    <row r="101" spans="1:16" s="160" customFormat="1" ht="12.75">
      <c r="A101" s="161" t="s">
        <v>364</v>
      </c>
      <c r="B101" s="161" t="s">
        <v>436</v>
      </c>
      <c r="C101" s="200" t="s">
        <v>252</v>
      </c>
      <c r="D101" s="161" t="s">
        <v>243</v>
      </c>
      <c r="E101" s="254">
        <v>2</v>
      </c>
      <c r="F101" s="271">
        <f>1.18+0.01+0.94+9.95+0.38</f>
        <v>12.46</v>
      </c>
      <c r="G101" s="271">
        <f>5.45+6.98</f>
        <v>12.43</v>
      </c>
      <c r="H101" s="284">
        <f t="shared" si="8"/>
        <v>24.89</v>
      </c>
      <c r="I101" s="284">
        <f t="shared" si="9"/>
        <v>24.92</v>
      </c>
      <c r="J101" s="284">
        <f t="shared" si="10"/>
        <v>24.86</v>
      </c>
      <c r="K101" s="284">
        <f t="shared" si="11"/>
        <v>49.78</v>
      </c>
      <c r="L101" s="159"/>
      <c r="M101" s="346"/>
      <c r="O101" s="171"/>
      <c r="P101" s="165"/>
    </row>
    <row r="102" spans="1:16" s="160" customFormat="1" ht="25.5">
      <c r="A102" s="161" t="s">
        <v>365</v>
      </c>
      <c r="B102" s="161" t="s">
        <v>437</v>
      </c>
      <c r="C102" s="200" t="s">
        <v>293</v>
      </c>
      <c r="D102" s="161" t="s">
        <v>243</v>
      </c>
      <c r="E102" s="254">
        <v>6</v>
      </c>
      <c r="F102" s="271">
        <f>0.39+0.55+0.39+0.02</f>
        <v>1.35</v>
      </c>
      <c r="G102" s="271">
        <f>1.32+1.03</f>
        <v>2.35</v>
      </c>
      <c r="H102" s="284">
        <f t="shared" si="8"/>
        <v>3.7</v>
      </c>
      <c r="I102" s="284">
        <f t="shared" si="9"/>
        <v>8.1</v>
      </c>
      <c r="J102" s="284">
        <f t="shared" si="10"/>
        <v>14.1</v>
      </c>
      <c r="K102" s="284">
        <f t="shared" si="11"/>
        <v>22.2</v>
      </c>
      <c r="L102" s="159"/>
      <c r="M102" s="346"/>
      <c r="O102" s="171"/>
      <c r="P102" s="165"/>
    </row>
    <row r="103" spans="1:16" s="160" customFormat="1" ht="25.5">
      <c r="A103" s="161" t="s">
        <v>366</v>
      </c>
      <c r="B103" s="161" t="s">
        <v>438</v>
      </c>
      <c r="C103" s="200" t="s">
        <v>294</v>
      </c>
      <c r="D103" s="161" t="s">
        <v>243</v>
      </c>
      <c r="E103" s="254">
        <v>3</v>
      </c>
      <c r="F103" s="271">
        <f>0.02+0.54+1.64+0.51</f>
        <v>2.71</v>
      </c>
      <c r="G103" s="271">
        <f>1.6+1.25</f>
        <v>2.85</v>
      </c>
      <c r="H103" s="284">
        <f t="shared" si="8"/>
        <v>5.56</v>
      </c>
      <c r="I103" s="284">
        <f t="shared" si="9"/>
        <v>8.13</v>
      </c>
      <c r="J103" s="284">
        <f t="shared" si="10"/>
        <v>8.55</v>
      </c>
      <c r="K103" s="284">
        <f t="shared" si="11"/>
        <v>16.68</v>
      </c>
      <c r="L103" s="159"/>
      <c r="M103" s="346"/>
      <c r="O103" s="171"/>
      <c r="P103" s="165"/>
    </row>
    <row r="104" spans="1:16" s="160" customFormat="1" ht="25.5">
      <c r="A104" s="161" t="s">
        <v>367</v>
      </c>
      <c r="B104" s="161" t="s">
        <v>439</v>
      </c>
      <c r="C104" s="200" t="s">
        <v>295</v>
      </c>
      <c r="D104" s="161" t="s">
        <v>243</v>
      </c>
      <c r="E104" s="254">
        <v>4</v>
      </c>
      <c r="F104" s="271">
        <f>0.02+0.39+0.59+0.39</f>
        <v>1.39</v>
      </c>
      <c r="G104" s="271">
        <f>0.68+0.88</f>
        <v>1.56</v>
      </c>
      <c r="H104" s="284">
        <f t="shared" si="8"/>
        <v>2.95</v>
      </c>
      <c r="I104" s="284">
        <f t="shared" si="9"/>
        <v>5.56</v>
      </c>
      <c r="J104" s="284">
        <f t="shared" si="10"/>
        <v>6.24</v>
      </c>
      <c r="K104" s="284">
        <f t="shared" si="11"/>
        <v>11.8</v>
      </c>
      <c r="L104" s="159"/>
      <c r="M104" s="346"/>
      <c r="O104" s="171"/>
      <c r="P104" s="165"/>
    </row>
    <row r="105" spans="1:16" s="160" customFormat="1" ht="25.5">
      <c r="A105" s="161" t="s">
        <v>368</v>
      </c>
      <c r="B105" s="161" t="s">
        <v>440</v>
      </c>
      <c r="C105" s="200" t="s">
        <v>296</v>
      </c>
      <c r="D105" s="161" t="s">
        <v>243</v>
      </c>
      <c r="E105" s="254">
        <v>3</v>
      </c>
      <c r="F105" s="271">
        <f>0.51+1.44+0.54+0.02</f>
        <v>2.51</v>
      </c>
      <c r="G105" s="271">
        <f>0.84+1.07</f>
        <v>1.91</v>
      </c>
      <c r="H105" s="284">
        <f t="shared" si="8"/>
        <v>4.42</v>
      </c>
      <c r="I105" s="284">
        <f t="shared" si="9"/>
        <v>7.53</v>
      </c>
      <c r="J105" s="284">
        <f t="shared" si="10"/>
        <v>5.73</v>
      </c>
      <c r="K105" s="284">
        <f t="shared" si="11"/>
        <v>13.26</v>
      </c>
      <c r="L105" s="159"/>
      <c r="M105" s="346"/>
      <c r="O105" s="171"/>
      <c r="P105" s="165"/>
    </row>
    <row r="106" spans="1:16" s="160" customFormat="1" ht="25.5">
      <c r="A106" s="161" t="s">
        <v>369</v>
      </c>
      <c r="B106" s="161" t="s">
        <v>468</v>
      </c>
      <c r="C106" s="200" t="s">
        <v>467</v>
      </c>
      <c r="D106" s="161" t="s">
        <v>243</v>
      </c>
      <c r="E106" s="254">
        <v>16</v>
      </c>
      <c r="F106" s="271">
        <f>1.02+4.21+1.09+0.04</f>
        <v>6.36</v>
      </c>
      <c r="G106" s="271">
        <f>1.85+2.37</f>
        <v>4.22</v>
      </c>
      <c r="H106" s="284">
        <f t="shared" si="8"/>
        <v>10.58</v>
      </c>
      <c r="I106" s="284">
        <f t="shared" si="9"/>
        <v>101.76</v>
      </c>
      <c r="J106" s="284">
        <f t="shared" si="10"/>
        <v>67.52</v>
      </c>
      <c r="K106" s="284">
        <f t="shared" si="11"/>
        <v>169.28</v>
      </c>
      <c r="L106" s="159"/>
      <c r="M106" s="346"/>
      <c r="O106" s="171"/>
      <c r="P106" s="165"/>
    </row>
    <row r="107" spans="1:16" s="160" customFormat="1" ht="25.5">
      <c r="A107" s="161" t="s">
        <v>370</v>
      </c>
      <c r="B107" s="161" t="s">
        <v>466</v>
      </c>
      <c r="C107" s="200" t="s">
        <v>465</v>
      </c>
      <c r="D107" s="161" t="s">
        <v>243</v>
      </c>
      <c r="E107" s="254">
        <v>4</v>
      </c>
      <c r="F107" s="271">
        <f>0.05+2.57+68.69+2.28</f>
        <v>73.59</v>
      </c>
      <c r="G107" s="271">
        <f>2.69+3.45</f>
        <v>6.14</v>
      </c>
      <c r="H107" s="284">
        <f t="shared" si="8"/>
        <v>79.73</v>
      </c>
      <c r="I107" s="284">
        <f t="shared" si="9"/>
        <v>294.36</v>
      </c>
      <c r="J107" s="284">
        <f t="shared" si="10"/>
        <v>24.56</v>
      </c>
      <c r="K107" s="284">
        <f t="shared" si="11"/>
        <v>318.92</v>
      </c>
      <c r="L107" s="159"/>
      <c r="M107" s="346"/>
      <c r="O107" s="171"/>
      <c r="P107" s="165"/>
    </row>
    <row r="108" spans="1:16" s="160" customFormat="1" ht="12.75">
      <c r="A108" s="161" t="s">
        <v>371</v>
      </c>
      <c r="B108" s="161" t="s">
        <v>441</v>
      </c>
      <c r="C108" s="200" t="s">
        <v>254</v>
      </c>
      <c r="D108" s="161" t="s">
        <v>243</v>
      </c>
      <c r="E108" s="254">
        <v>4</v>
      </c>
      <c r="F108" s="271">
        <v>166</v>
      </c>
      <c r="G108" s="271">
        <f>F108*0.3</f>
        <v>49.8</v>
      </c>
      <c r="H108" s="284">
        <f t="shared" si="8"/>
        <v>215.8</v>
      </c>
      <c r="I108" s="284">
        <f t="shared" si="9"/>
        <v>664</v>
      </c>
      <c r="J108" s="284">
        <f t="shared" si="10"/>
        <v>199.2</v>
      </c>
      <c r="K108" s="284">
        <f t="shared" si="11"/>
        <v>863.2</v>
      </c>
      <c r="L108" s="159"/>
      <c r="M108" s="346"/>
      <c r="O108" s="171"/>
      <c r="P108" s="165"/>
    </row>
    <row r="109" spans="1:16" s="160" customFormat="1" ht="12.75">
      <c r="A109" s="161" t="s">
        <v>372</v>
      </c>
      <c r="B109" s="161" t="s">
        <v>441</v>
      </c>
      <c r="C109" s="200" t="s">
        <v>255</v>
      </c>
      <c r="D109" s="161" t="s">
        <v>243</v>
      </c>
      <c r="E109" s="254">
        <v>3</v>
      </c>
      <c r="F109" s="271">
        <v>166</v>
      </c>
      <c r="G109" s="271">
        <f>F109*0.3</f>
        <v>49.8</v>
      </c>
      <c r="H109" s="284">
        <f t="shared" si="8"/>
        <v>215.8</v>
      </c>
      <c r="I109" s="284">
        <f t="shared" si="9"/>
        <v>498</v>
      </c>
      <c r="J109" s="284">
        <f t="shared" si="10"/>
        <v>149.4</v>
      </c>
      <c r="K109" s="284">
        <f t="shared" si="11"/>
        <v>647.4</v>
      </c>
      <c r="L109" s="159"/>
      <c r="M109" s="346"/>
      <c r="O109" s="171"/>
      <c r="P109" s="165"/>
    </row>
    <row r="110" spans="1:16" s="160" customFormat="1" ht="12.75">
      <c r="A110" s="161" t="s">
        <v>373</v>
      </c>
      <c r="B110" s="161" t="s">
        <v>442</v>
      </c>
      <c r="C110" s="200" t="s">
        <v>256</v>
      </c>
      <c r="D110" s="161" t="s">
        <v>243</v>
      </c>
      <c r="E110" s="254">
        <v>4</v>
      </c>
      <c r="F110" s="271">
        <v>455.99</v>
      </c>
      <c r="G110" s="271">
        <v>0</v>
      </c>
      <c r="H110" s="284">
        <f t="shared" si="8"/>
        <v>455.99</v>
      </c>
      <c r="I110" s="284">
        <f t="shared" si="9"/>
        <v>1823.96</v>
      </c>
      <c r="J110" s="284">
        <f t="shared" si="10"/>
        <v>0</v>
      </c>
      <c r="K110" s="284">
        <f t="shared" si="11"/>
        <v>1823.96</v>
      </c>
      <c r="L110" s="159"/>
      <c r="M110" s="346"/>
      <c r="O110" s="171"/>
      <c r="P110" s="165"/>
    </row>
    <row r="111" spans="1:16" s="160" customFormat="1" ht="12.75">
      <c r="A111" s="161" t="s">
        <v>374</v>
      </c>
      <c r="B111" s="161" t="s">
        <v>443</v>
      </c>
      <c r="C111" s="200" t="s">
        <v>253</v>
      </c>
      <c r="D111" s="161" t="s">
        <v>243</v>
      </c>
      <c r="E111" s="254">
        <v>2</v>
      </c>
      <c r="F111" s="271">
        <f>444</f>
        <v>444</v>
      </c>
      <c r="G111" s="271">
        <f>F111*0.3</f>
        <v>133.2</v>
      </c>
      <c r="H111" s="284">
        <f t="shared" si="8"/>
        <v>577.2</v>
      </c>
      <c r="I111" s="284">
        <f t="shared" si="9"/>
        <v>888</v>
      </c>
      <c r="J111" s="284">
        <f t="shared" si="10"/>
        <v>266.4</v>
      </c>
      <c r="K111" s="284">
        <f t="shared" si="11"/>
        <v>1154.4</v>
      </c>
      <c r="L111" s="159"/>
      <c r="M111" s="346"/>
      <c r="O111" s="171"/>
      <c r="P111" s="165"/>
    </row>
    <row r="112" spans="1:16" s="160" customFormat="1" ht="12.75">
      <c r="A112" s="230"/>
      <c r="B112" s="230"/>
      <c r="C112" s="231" t="s">
        <v>17</v>
      </c>
      <c r="D112" s="230"/>
      <c r="E112" s="255"/>
      <c r="F112" s="289"/>
      <c r="G112" s="289"/>
      <c r="H112" s="289"/>
      <c r="I112" s="289"/>
      <c r="J112" s="289"/>
      <c r="K112" s="289"/>
      <c r="L112" s="232">
        <f>SUM(K95:K111)</f>
        <v>11498.82</v>
      </c>
      <c r="M112" s="347"/>
      <c r="N112" s="233"/>
      <c r="O112" s="163"/>
      <c r="P112" s="158"/>
    </row>
    <row r="113" spans="1:16" s="160" customFormat="1" ht="12.75">
      <c r="A113" s="155" t="s">
        <v>63</v>
      </c>
      <c r="B113" s="155"/>
      <c r="C113" s="156" t="s">
        <v>19</v>
      </c>
      <c r="D113" s="157"/>
      <c r="E113" s="257"/>
      <c r="F113" s="288"/>
      <c r="G113" s="288"/>
      <c r="H113" s="284"/>
      <c r="I113" s="284"/>
      <c r="J113" s="284"/>
      <c r="K113" s="284"/>
      <c r="L113" s="159"/>
      <c r="M113" s="346"/>
      <c r="O113" s="171">
        <v>20.91</v>
      </c>
      <c r="P113" s="165">
        <v>8.96</v>
      </c>
    </row>
    <row r="114" spans="1:16" s="160" customFormat="1" ht="12.75">
      <c r="A114" s="161" t="s">
        <v>64</v>
      </c>
      <c r="B114" s="161" t="s">
        <v>444</v>
      </c>
      <c r="C114" s="204" t="s">
        <v>445</v>
      </c>
      <c r="D114" s="161" t="s">
        <v>243</v>
      </c>
      <c r="E114" s="254">
        <v>10</v>
      </c>
      <c r="F114" s="271">
        <f>0.45+1.02+0.01+1.09+0.48+2.37+4.49+5.75</f>
        <v>15.66</v>
      </c>
      <c r="G114" s="271">
        <f>24.84+31.86</f>
        <v>56.7</v>
      </c>
      <c r="H114" s="284">
        <f>F114+G114</f>
        <v>72.36</v>
      </c>
      <c r="I114" s="284">
        <f>E114*F114</f>
        <v>156.6</v>
      </c>
      <c r="J114" s="284">
        <f>E114*G114</f>
        <v>567</v>
      </c>
      <c r="K114" s="284">
        <f>I114+J114</f>
        <v>723.6</v>
      </c>
      <c r="L114" s="159"/>
      <c r="M114" s="346"/>
      <c r="O114" s="171"/>
      <c r="P114" s="165"/>
    </row>
    <row r="115" spans="1:16" s="160" customFormat="1" ht="12.75">
      <c r="A115" s="230"/>
      <c r="B115" s="230"/>
      <c r="C115" s="231" t="s">
        <v>17</v>
      </c>
      <c r="D115" s="230"/>
      <c r="E115" s="255"/>
      <c r="F115" s="289"/>
      <c r="G115" s="289"/>
      <c r="H115" s="289"/>
      <c r="I115" s="289"/>
      <c r="J115" s="289"/>
      <c r="K115" s="289"/>
      <c r="L115" s="232">
        <f>SUM(K114:K114)</f>
        <v>723.6</v>
      </c>
      <c r="M115" s="347"/>
      <c r="N115" s="233"/>
      <c r="O115" s="163"/>
      <c r="P115" s="158"/>
    </row>
    <row r="116" spans="1:16" s="160" customFormat="1" ht="12.75">
      <c r="A116" s="155" t="s">
        <v>65</v>
      </c>
      <c r="B116" s="155"/>
      <c r="C116" s="156" t="s">
        <v>297</v>
      </c>
      <c r="D116" s="161"/>
      <c r="E116" s="254"/>
      <c r="F116" s="290"/>
      <c r="G116" s="288"/>
      <c r="H116" s="288"/>
      <c r="I116" s="288"/>
      <c r="J116" s="288"/>
      <c r="K116" s="288"/>
      <c r="L116" s="158"/>
      <c r="M116" s="348"/>
      <c r="O116" s="171">
        <v>7.67</v>
      </c>
      <c r="P116" s="165">
        <v>6.4</v>
      </c>
    </row>
    <row r="117" spans="1:16" s="169" customFormat="1" ht="12.75">
      <c r="A117" s="202" t="s">
        <v>109</v>
      </c>
      <c r="B117" s="202" t="s">
        <v>447</v>
      </c>
      <c r="C117" s="204" t="s">
        <v>446</v>
      </c>
      <c r="D117" s="134" t="s">
        <v>243</v>
      </c>
      <c r="E117" s="252">
        <v>4</v>
      </c>
      <c r="F117" s="271">
        <f>12.04+4207.98</f>
        <v>4220.02</v>
      </c>
      <c r="G117" s="271">
        <f>47.08+64.58+47.08+64.58</f>
        <v>223.32</v>
      </c>
      <c r="H117" s="284">
        <f>F117+G117</f>
        <v>4443.34</v>
      </c>
      <c r="I117" s="284">
        <f>E117*F117</f>
        <v>16880.08</v>
      </c>
      <c r="J117" s="284">
        <f>E117*G117</f>
        <v>893.28</v>
      </c>
      <c r="K117" s="284">
        <f>I117+J117</f>
        <v>17773.36</v>
      </c>
      <c r="L117" s="170"/>
      <c r="M117" s="340"/>
      <c r="O117" s="171">
        <v>18.49</v>
      </c>
      <c r="P117" s="171">
        <v>5.92</v>
      </c>
    </row>
    <row r="118" spans="1:16" s="169" customFormat="1" ht="12.75">
      <c r="A118" s="202" t="s">
        <v>110</v>
      </c>
      <c r="B118" s="202" t="s">
        <v>448</v>
      </c>
      <c r="C118" s="204" t="s">
        <v>245</v>
      </c>
      <c r="D118" s="134" t="s">
        <v>243</v>
      </c>
      <c r="E118" s="252">
        <v>4</v>
      </c>
      <c r="F118" s="271">
        <f>2437.3</f>
        <v>2437.3</v>
      </c>
      <c r="G118" s="271">
        <f>64.58+47.08</f>
        <v>111.66</v>
      </c>
      <c r="H118" s="284">
        <f>F118+G118</f>
        <v>2548.96</v>
      </c>
      <c r="I118" s="284">
        <f>E118*F118</f>
        <v>9749.2</v>
      </c>
      <c r="J118" s="284">
        <f>E118*G118</f>
        <v>446.64</v>
      </c>
      <c r="K118" s="284">
        <f>I118+J118</f>
        <v>10195.84</v>
      </c>
      <c r="L118" s="170"/>
      <c r="M118" s="340"/>
      <c r="O118" s="171">
        <v>2.59</v>
      </c>
      <c r="P118" s="171">
        <v>2.4</v>
      </c>
    </row>
    <row r="119" spans="1:16" s="208" customFormat="1" ht="12.75">
      <c r="A119" s="202" t="s">
        <v>238</v>
      </c>
      <c r="B119" s="161" t="s">
        <v>449</v>
      </c>
      <c r="C119" s="204" t="s">
        <v>280</v>
      </c>
      <c r="D119" s="134" t="s">
        <v>243</v>
      </c>
      <c r="E119" s="252">
        <v>1</v>
      </c>
      <c r="F119" s="271">
        <f>1260.04</f>
        <v>1260.04</v>
      </c>
      <c r="G119" s="271">
        <f>43.78+60.04+44.74+60.04</f>
        <v>208.6</v>
      </c>
      <c r="H119" s="271">
        <f>F119+G119</f>
        <v>1468.64</v>
      </c>
      <c r="I119" s="271">
        <f>E119*F119</f>
        <v>1260.04</v>
      </c>
      <c r="J119" s="271">
        <f>E119*G119</f>
        <v>208.6</v>
      </c>
      <c r="K119" s="271">
        <f>I119+J119</f>
        <v>1468.64</v>
      </c>
      <c r="L119" s="207"/>
      <c r="M119" s="349"/>
      <c r="O119" s="205">
        <v>180.39</v>
      </c>
      <c r="P119" s="206">
        <v>123.61</v>
      </c>
    </row>
    <row r="120" spans="1:16" s="125" customFormat="1" ht="12.75">
      <c r="A120" s="230"/>
      <c r="B120" s="230"/>
      <c r="C120" s="231" t="s">
        <v>17</v>
      </c>
      <c r="D120" s="230"/>
      <c r="E120" s="255"/>
      <c r="F120" s="286"/>
      <c r="G120" s="286"/>
      <c r="H120" s="286"/>
      <c r="I120" s="291"/>
      <c r="J120" s="291"/>
      <c r="K120" s="286"/>
      <c r="L120" s="232">
        <f>SUM(K117:K119)</f>
        <v>29437.84</v>
      </c>
      <c r="M120" s="347"/>
      <c r="N120" s="233"/>
      <c r="O120" s="175"/>
      <c r="P120" s="175"/>
    </row>
    <row r="121" spans="1:16" s="160" customFormat="1" ht="12.75">
      <c r="A121" s="173"/>
      <c r="B121" s="173"/>
      <c r="C121" s="174" t="s">
        <v>143</v>
      </c>
      <c r="D121" s="173"/>
      <c r="E121" s="250"/>
      <c r="F121" s="272"/>
      <c r="G121" s="272"/>
      <c r="H121" s="278"/>
      <c r="I121" s="279">
        <f>SUM(I87:I120)</f>
        <v>40367.77</v>
      </c>
      <c r="J121" s="279">
        <f>SUM(J87:J120)</f>
        <v>4107.76</v>
      </c>
      <c r="K121" s="272"/>
      <c r="L121" s="176">
        <f>SUM(L87:L120)</f>
        <v>44475.53</v>
      </c>
      <c r="M121" s="331">
        <f>L121</f>
        <v>44475.53</v>
      </c>
      <c r="N121" s="238">
        <f>L121*1.2698</f>
        <v>56475.03</v>
      </c>
      <c r="O121" s="158"/>
      <c r="P121" s="158"/>
    </row>
    <row r="122" spans="1:16" s="160" customFormat="1" ht="12.75">
      <c r="A122" s="155"/>
      <c r="B122" s="155"/>
      <c r="C122" s="162"/>
      <c r="D122" s="161"/>
      <c r="E122" s="254"/>
      <c r="F122" s="288"/>
      <c r="G122" s="288"/>
      <c r="H122" s="288"/>
      <c r="I122" s="292"/>
      <c r="J122" s="292"/>
      <c r="K122" s="288"/>
      <c r="L122" s="164"/>
      <c r="M122" s="350"/>
      <c r="O122" s="158"/>
      <c r="P122" s="158"/>
    </row>
    <row r="123" spans="1:16" s="160" customFormat="1" ht="12.75">
      <c r="A123" s="155">
        <v>5</v>
      </c>
      <c r="B123" s="155"/>
      <c r="C123" s="156" t="s">
        <v>128</v>
      </c>
      <c r="D123" s="157"/>
      <c r="E123" s="257"/>
      <c r="F123" s="288"/>
      <c r="G123" s="288"/>
      <c r="H123" s="288"/>
      <c r="I123" s="288"/>
      <c r="J123" s="288"/>
      <c r="K123" s="288"/>
      <c r="L123" s="159"/>
      <c r="M123" s="346"/>
      <c r="O123" s="167"/>
      <c r="P123" s="165"/>
    </row>
    <row r="124" spans="1:16" s="160" customFormat="1" ht="12.75">
      <c r="A124" s="166" t="s">
        <v>375</v>
      </c>
      <c r="B124" s="166"/>
      <c r="C124" s="322" t="s">
        <v>129</v>
      </c>
      <c r="D124" s="322"/>
      <c r="E124" s="252"/>
      <c r="F124" s="287"/>
      <c r="G124" s="284"/>
      <c r="H124" s="284"/>
      <c r="I124" s="284"/>
      <c r="J124" s="284"/>
      <c r="K124" s="284"/>
      <c r="L124" s="164"/>
      <c r="M124" s="350"/>
      <c r="O124" s="153">
        <v>1503</v>
      </c>
      <c r="P124" s="165">
        <v>350</v>
      </c>
    </row>
    <row r="125" spans="1:16" s="160" customFormat="1" ht="12" customHeight="1">
      <c r="A125" s="202" t="s">
        <v>101</v>
      </c>
      <c r="B125" s="202" t="s">
        <v>450</v>
      </c>
      <c r="C125" s="203" t="s">
        <v>261</v>
      </c>
      <c r="D125" s="202" t="s">
        <v>50</v>
      </c>
      <c r="E125" s="202">
        <v>13.59</v>
      </c>
      <c r="F125" s="271">
        <f>9.71+3.01+2.42</f>
        <v>15.14</v>
      </c>
      <c r="G125" s="271">
        <f>3.43+4.4</f>
        <v>7.83</v>
      </c>
      <c r="H125" s="284">
        <f aca="true" t="shared" si="12" ref="H125:H132">F125+G125</f>
        <v>22.97</v>
      </c>
      <c r="I125" s="284">
        <f aca="true" t="shared" si="13" ref="I125:I132">E125*F125</f>
        <v>205.75</v>
      </c>
      <c r="J125" s="284">
        <f aca="true" t="shared" si="14" ref="J125:J132">E125*G125</f>
        <v>106.41</v>
      </c>
      <c r="K125" s="284">
        <f aca="true" t="shared" si="15" ref="K125:K132">I125+J125</f>
        <v>312.16</v>
      </c>
      <c r="L125" s="164"/>
      <c r="M125" s="350"/>
      <c r="O125" s="153">
        <v>882.46</v>
      </c>
      <c r="P125" s="165">
        <v>441.23</v>
      </c>
    </row>
    <row r="126" spans="1:16" s="160" customFormat="1" ht="12" customHeight="1">
      <c r="A126" s="202" t="s">
        <v>102</v>
      </c>
      <c r="B126" s="202" t="s">
        <v>451</v>
      </c>
      <c r="C126" s="203" t="s">
        <v>262</v>
      </c>
      <c r="D126" s="202" t="s">
        <v>50</v>
      </c>
      <c r="E126" s="202">
        <v>12</v>
      </c>
      <c r="F126" s="271">
        <f>12.54+3.38+2.42</f>
        <v>18.34</v>
      </c>
      <c r="G126" s="271">
        <f>3.81+4.9</f>
        <v>8.71</v>
      </c>
      <c r="H126" s="284">
        <f t="shared" si="12"/>
        <v>27.05</v>
      </c>
      <c r="I126" s="284">
        <f t="shared" si="13"/>
        <v>220.08</v>
      </c>
      <c r="J126" s="284">
        <f t="shared" si="14"/>
        <v>104.52</v>
      </c>
      <c r="K126" s="284">
        <f t="shared" si="15"/>
        <v>324.6</v>
      </c>
      <c r="L126" s="164"/>
      <c r="M126" s="350"/>
      <c r="O126" s="153">
        <v>882.46</v>
      </c>
      <c r="P126" s="165">
        <v>441.23</v>
      </c>
    </row>
    <row r="127" spans="1:16" s="160" customFormat="1" ht="12" customHeight="1">
      <c r="A127" s="202" t="s">
        <v>103</v>
      </c>
      <c r="B127" s="202" t="s">
        <v>452</v>
      </c>
      <c r="C127" s="203" t="s">
        <v>263</v>
      </c>
      <c r="D127" s="202" t="s">
        <v>50</v>
      </c>
      <c r="E127" s="202">
        <f>14</f>
        <v>14</v>
      </c>
      <c r="F127" s="271">
        <f>50.3</f>
        <v>50.3</v>
      </c>
      <c r="G127" s="271">
        <f>13.96+10.87</f>
        <v>24.83</v>
      </c>
      <c r="H127" s="284">
        <f t="shared" si="12"/>
        <v>75.13</v>
      </c>
      <c r="I127" s="284">
        <f t="shared" si="13"/>
        <v>704.2</v>
      </c>
      <c r="J127" s="284">
        <f t="shared" si="14"/>
        <v>347.62</v>
      </c>
      <c r="K127" s="284">
        <f t="shared" si="15"/>
        <v>1051.82</v>
      </c>
      <c r="L127" s="164"/>
      <c r="M127" s="350"/>
      <c r="O127" s="153">
        <v>882.46</v>
      </c>
      <c r="P127" s="165">
        <v>441.23</v>
      </c>
    </row>
    <row r="128" spans="1:16" s="160" customFormat="1" ht="12.75">
      <c r="A128" s="202" t="s">
        <v>299</v>
      </c>
      <c r="B128" s="202" t="s">
        <v>453</v>
      </c>
      <c r="C128" s="203" t="s">
        <v>264</v>
      </c>
      <c r="D128" s="202" t="s">
        <v>50</v>
      </c>
      <c r="E128" s="202">
        <v>12</v>
      </c>
      <c r="F128" s="271">
        <f>91.6+1.08</f>
        <v>92.68</v>
      </c>
      <c r="G128" s="271">
        <f>17.63+13.73</f>
        <v>31.36</v>
      </c>
      <c r="H128" s="284">
        <f t="shared" si="12"/>
        <v>124.04</v>
      </c>
      <c r="I128" s="284">
        <f t="shared" si="13"/>
        <v>1112.16</v>
      </c>
      <c r="J128" s="284">
        <f t="shared" si="14"/>
        <v>376.32</v>
      </c>
      <c r="K128" s="284">
        <f t="shared" si="15"/>
        <v>1488.48</v>
      </c>
      <c r="L128" s="164"/>
      <c r="M128" s="350"/>
      <c r="O128" s="153">
        <v>420</v>
      </c>
      <c r="P128" s="165">
        <v>200</v>
      </c>
    </row>
    <row r="129" spans="1:16" s="160" customFormat="1" ht="25.5">
      <c r="A129" s="202" t="s">
        <v>376</v>
      </c>
      <c r="B129" s="202" t="s">
        <v>507</v>
      </c>
      <c r="C129" s="203" t="s">
        <v>265</v>
      </c>
      <c r="D129" s="202" t="s">
        <v>243</v>
      </c>
      <c r="E129" s="202">
        <v>10</v>
      </c>
      <c r="F129" s="271">
        <f>9.75+0.4</f>
        <v>10.15</v>
      </c>
      <c r="G129" s="271">
        <f>8.76+11.25</f>
        <v>20.01</v>
      </c>
      <c r="H129" s="284">
        <f t="shared" si="12"/>
        <v>30.16</v>
      </c>
      <c r="I129" s="284">
        <f t="shared" si="13"/>
        <v>101.5</v>
      </c>
      <c r="J129" s="284">
        <f t="shared" si="14"/>
        <v>200.1</v>
      </c>
      <c r="K129" s="284">
        <f t="shared" si="15"/>
        <v>301.6</v>
      </c>
      <c r="L129" s="164"/>
      <c r="M129" s="350"/>
      <c r="O129" s="153"/>
      <c r="P129" s="165"/>
    </row>
    <row r="130" spans="1:16" s="160" customFormat="1" ht="25.5">
      <c r="A130" s="202" t="s">
        <v>377</v>
      </c>
      <c r="B130" s="202" t="s">
        <v>508</v>
      </c>
      <c r="C130" s="203" t="s">
        <v>266</v>
      </c>
      <c r="D130" s="202" t="s">
        <v>243</v>
      </c>
      <c r="E130" s="202">
        <v>5</v>
      </c>
      <c r="F130" s="271">
        <f>11.38+0.4</f>
        <v>11.78</v>
      </c>
      <c r="G130" s="271">
        <f>9.5+12.2</f>
        <v>21.7</v>
      </c>
      <c r="H130" s="284">
        <f t="shared" si="12"/>
        <v>33.48</v>
      </c>
      <c r="I130" s="284">
        <f t="shared" si="13"/>
        <v>58.9</v>
      </c>
      <c r="J130" s="284">
        <f t="shared" si="14"/>
        <v>108.5</v>
      </c>
      <c r="K130" s="284">
        <f t="shared" si="15"/>
        <v>167.4</v>
      </c>
      <c r="L130" s="164"/>
      <c r="M130" s="350"/>
      <c r="O130" s="153"/>
      <c r="P130" s="165"/>
    </row>
    <row r="131" spans="1:16" s="160" customFormat="1" ht="12.75">
      <c r="A131" s="202" t="s">
        <v>378</v>
      </c>
      <c r="B131" s="202" t="s">
        <v>509</v>
      </c>
      <c r="C131" s="203" t="s">
        <v>267</v>
      </c>
      <c r="D131" s="202" t="s">
        <v>243</v>
      </c>
      <c r="E131" s="202">
        <v>8</v>
      </c>
      <c r="F131" s="271">
        <f>51.61</f>
        <v>51.61</v>
      </c>
      <c r="G131" s="271">
        <f>8.7+11.17+0.68</f>
        <v>20.55</v>
      </c>
      <c r="H131" s="284">
        <f t="shared" si="12"/>
        <v>72.16</v>
      </c>
      <c r="I131" s="284">
        <f t="shared" si="13"/>
        <v>412.88</v>
      </c>
      <c r="J131" s="284">
        <f t="shared" si="14"/>
        <v>164.4</v>
      </c>
      <c r="K131" s="284">
        <f t="shared" si="15"/>
        <v>577.28</v>
      </c>
      <c r="L131" s="164"/>
      <c r="M131" s="350"/>
      <c r="O131" s="153"/>
      <c r="P131" s="165"/>
    </row>
    <row r="132" spans="1:16" s="160" customFormat="1" ht="12.75">
      <c r="A132" s="202" t="s">
        <v>379</v>
      </c>
      <c r="B132" s="202" t="s">
        <v>510</v>
      </c>
      <c r="C132" s="203" t="s">
        <v>268</v>
      </c>
      <c r="D132" s="202" t="s">
        <v>243</v>
      </c>
      <c r="E132" s="202">
        <v>3</v>
      </c>
      <c r="F132" s="271">
        <f>113.97</f>
        <v>113.97</v>
      </c>
      <c r="G132" s="271">
        <f>11.17+8.7+0.68</f>
        <v>20.55</v>
      </c>
      <c r="H132" s="284">
        <f t="shared" si="12"/>
        <v>134.52</v>
      </c>
      <c r="I132" s="284">
        <f t="shared" si="13"/>
        <v>341.91</v>
      </c>
      <c r="J132" s="284">
        <f t="shared" si="14"/>
        <v>61.65</v>
      </c>
      <c r="K132" s="284">
        <f t="shared" si="15"/>
        <v>403.56</v>
      </c>
      <c r="L132" s="164"/>
      <c r="M132" s="350"/>
      <c r="O132" s="153"/>
      <c r="P132" s="165"/>
    </row>
    <row r="133" spans="1:16" s="160" customFormat="1" ht="12.75">
      <c r="A133" s="230"/>
      <c r="B133" s="230"/>
      <c r="C133" s="231" t="s">
        <v>17</v>
      </c>
      <c r="D133" s="230"/>
      <c r="E133" s="255"/>
      <c r="F133" s="286"/>
      <c r="G133" s="286"/>
      <c r="H133" s="286"/>
      <c r="I133" s="286"/>
      <c r="J133" s="286"/>
      <c r="K133" s="286"/>
      <c r="L133" s="232">
        <f>SUM(K125:K132)</f>
        <v>4626.9</v>
      </c>
      <c r="M133" s="347"/>
      <c r="N133" s="233"/>
      <c r="O133" s="167"/>
      <c r="P133" s="165"/>
    </row>
    <row r="134" spans="1:16" s="160" customFormat="1" ht="12.75">
      <c r="A134" s="166" t="s">
        <v>104</v>
      </c>
      <c r="B134" s="166"/>
      <c r="C134" s="168" t="s">
        <v>130</v>
      </c>
      <c r="D134" s="202"/>
      <c r="E134" s="252"/>
      <c r="F134" s="271"/>
      <c r="G134" s="271"/>
      <c r="H134" s="284"/>
      <c r="I134" s="284"/>
      <c r="J134" s="284"/>
      <c r="K134" s="284"/>
      <c r="L134" s="164"/>
      <c r="M134" s="350"/>
      <c r="O134" s="167">
        <v>365.8</v>
      </c>
      <c r="P134" s="206">
        <v>32</v>
      </c>
    </row>
    <row r="135" spans="1:16" s="208" customFormat="1" ht="25.5">
      <c r="A135" s="202" t="s">
        <v>105</v>
      </c>
      <c r="B135" s="202" t="s">
        <v>511</v>
      </c>
      <c r="C135" s="204" t="s">
        <v>275</v>
      </c>
      <c r="D135" s="202" t="s">
        <v>243</v>
      </c>
      <c r="E135" s="252">
        <v>5</v>
      </c>
      <c r="F135" s="271">
        <f>8.3+70.46+7.04+5.04</f>
        <v>90.84</v>
      </c>
      <c r="G135" s="271">
        <f>1.47+1.41</f>
        <v>2.88</v>
      </c>
      <c r="H135" s="271">
        <f>F135+G135</f>
        <v>93.72</v>
      </c>
      <c r="I135" s="271">
        <f>E135*F135</f>
        <v>454.2</v>
      </c>
      <c r="J135" s="271">
        <f>E135*G135</f>
        <v>14.4</v>
      </c>
      <c r="K135" s="271">
        <f>I135+J135</f>
        <v>468.6</v>
      </c>
      <c r="L135" s="209"/>
      <c r="M135" s="351"/>
      <c r="O135" s="167">
        <v>128.85</v>
      </c>
      <c r="P135" s="206">
        <v>24</v>
      </c>
    </row>
    <row r="136" spans="1:16" s="169" customFormat="1" ht="12.75">
      <c r="A136" s="230"/>
      <c r="B136" s="230"/>
      <c r="C136" s="231" t="s">
        <v>17</v>
      </c>
      <c r="D136" s="230"/>
      <c r="E136" s="255"/>
      <c r="F136" s="286"/>
      <c r="G136" s="286"/>
      <c r="H136" s="286"/>
      <c r="I136" s="291"/>
      <c r="J136" s="291"/>
      <c r="K136" s="286"/>
      <c r="L136" s="232">
        <f>SUM(K135:K135)</f>
        <v>468.6</v>
      </c>
      <c r="M136" s="347"/>
      <c r="N136" s="233"/>
      <c r="O136" s="167"/>
      <c r="P136" s="167"/>
    </row>
    <row r="137" spans="1:16" s="169" customFormat="1" ht="12.75">
      <c r="A137" s="166" t="s">
        <v>305</v>
      </c>
      <c r="B137" s="166"/>
      <c r="C137" s="168" t="s">
        <v>131</v>
      </c>
      <c r="D137" s="202"/>
      <c r="E137" s="252"/>
      <c r="F137" s="271">
        <v>0</v>
      </c>
      <c r="G137" s="271">
        <v>0</v>
      </c>
      <c r="H137" s="284"/>
      <c r="I137" s="284"/>
      <c r="J137" s="284"/>
      <c r="K137" s="284"/>
      <c r="L137" s="170"/>
      <c r="M137" s="340"/>
      <c r="O137" s="171">
        <v>0.99</v>
      </c>
      <c r="P137" s="171">
        <v>1.27</v>
      </c>
    </row>
    <row r="138" spans="1:16" s="169" customFormat="1" ht="25.5">
      <c r="A138" s="202" t="s">
        <v>306</v>
      </c>
      <c r="B138" s="202" t="s">
        <v>512</v>
      </c>
      <c r="C138" s="204" t="s">
        <v>269</v>
      </c>
      <c r="D138" s="202" t="s">
        <v>50</v>
      </c>
      <c r="E138" s="252">
        <f>36*1.1</f>
        <v>39.6</v>
      </c>
      <c r="F138" s="271">
        <f>0.03+2.15</f>
        <v>2.18</v>
      </c>
      <c r="G138" s="271">
        <f>0.54+0.42</f>
        <v>0.96</v>
      </c>
      <c r="H138" s="284">
        <f aca="true" t="shared" si="16" ref="H138:H144">F138+G138</f>
        <v>3.14</v>
      </c>
      <c r="I138" s="284">
        <f aca="true" t="shared" si="17" ref="I138:I144">E138*F138</f>
        <v>86.33</v>
      </c>
      <c r="J138" s="284">
        <f aca="true" t="shared" si="18" ref="J138:J144">E138*G138</f>
        <v>38.02</v>
      </c>
      <c r="K138" s="284">
        <f aca="true" t="shared" si="19" ref="K138:K144">I138+J138</f>
        <v>124.35</v>
      </c>
      <c r="L138" s="170"/>
      <c r="M138" s="340"/>
      <c r="O138" s="171">
        <v>0.7</v>
      </c>
      <c r="P138" s="171">
        <v>1.27</v>
      </c>
    </row>
    <row r="139" spans="1:16" s="169" customFormat="1" ht="25.5">
      <c r="A139" s="202" t="s">
        <v>380</v>
      </c>
      <c r="B139" s="202" t="s">
        <v>513</v>
      </c>
      <c r="C139" s="204" t="s">
        <v>279</v>
      </c>
      <c r="D139" s="202" t="s">
        <v>50</v>
      </c>
      <c r="E139" s="252">
        <f>(7.86+10)*3</f>
        <v>53.58</v>
      </c>
      <c r="F139" s="271">
        <f>0.03+2.98</f>
        <v>3.01</v>
      </c>
      <c r="G139" s="271">
        <f>0.52+0.67</f>
        <v>1.19</v>
      </c>
      <c r="H139" s="284">
        <f t="shared" si="16"/>
        <v>4.2</v>
      </c>
      <c r="I139" s="284">
        <f t="shared" si="17"/>
        <v>161.28</v>
      </c>
      <c r="J139" s="284">
        <f>E139*G139</f>
        <v>63.76</v>
      </c>
      <c r="K139" s="284">
        <f t="shared" si="19"/>
        <v>225.04</v>
      </c>
      <c r="L139" s="170"/>
      <c r="M139" s="340"/>
      <c r="O139" s="171"/>
      <c r="P139" s="171"/>
    </row>
    <row r="140" spans="1:16" s="169" customFormat="1" ht="25.5">
      <c r="A140" s="202" t="s">
        <v>381</v>
      </c>
      <c r="B140" s="202" t="s">
        <v>514</v>
      </c>
      <c r="C140" s="204" t="s">
        <v>270</v>
      </c>
      <c r="D140" s="202" t="s">
        <v>50</v>
      </c>
      <c r="E140" s="252">
        <f>(50.92*3)+(11.97*5)+(6.1*20)</f>
        <v>334.61</v>
      </c>
      <c r="F140" s="271">
        <f>4.28+0.03</f>
        <v>4.31</v>
      </c>
      <c r="G140" s="271">
        <f>0.9+0.7</f>
        <v>1.6</v>
      </c>
      <c r="H140" s="284">
        <f t="shared" si="16"/>
        <v>5.91</v>
      </c>
      <c r="I140" s="284">
        <f t="shared" si="17"/>
        <v>1442.17</v>
      </c>
      <c r="J140" s="284">
        <f t="shared" si="18"/>
        <v>535.38</v>
      </c>
      <c r="K140" s="284">
        <f t="shared" si="19"/>
        <v>1977.55</v>
      </c>
      <c r="L140" s="170"/>
      <c r="M140" s="340"/>
      <c r="O140" s="171">
        <v>0.78</v>
      </c>
      <c r="P140" s="171">
        <v>1.76</v>
      </c>
    </row>
    <row r="141" spans="1:16" s="169" customFormat="1" ht="25.5">
      <c r="A141" s="202" t="s">
        <v>382</v>
      </c>
      <c r="B141" s="202" t="s">
        <v>515</v>
      </c>
      <c r="C141" s="204" t="s">
        <v>271</v>
      </c>
      <c r="D141" s="202" t="s">
        <v>50</v>
      </c>
      <c r="E141" s="252">
        <f>15</f>
        <v>15</v>
      </c>
      <c r="F141" s="271">
        <f>0.03+5.85</f>
        <v>5.88</v>
      </c>
      <c r="G141" s="271">
        <f>0.91+1.17</f>
        <v>2.08</v>
      </c>
      <c r="H141" s="284">
        <f t="shared" si="16"/>
        <v>7.96</v>
      </c>
      <c r="I141" s="284">
        <f t="shared" si="17"/>
        <v>88.2</v>
      </c>
      <c r="J141" s="284">
        <f t="shared" si="18"/>
        <v>31.2</v>
      </c>
      <c r="K141" s="284">
        <f t="shared" si="19"/>
        <v>119.4</v>
      </c>
      <c r="L141" s="170"/>
      <c r="M141" s="340"/>
      <c r="O141" s="171">
        <v>1.83</v>
      </c>
      <c r="P141" s="171">
        <v>1.76</v>
      </c>
    </row>
    <row r="142" spans="1:16" s="160" customFormat="1" ht="25.5">
      <c r="A142" s="202" t="s">
        <v>383</v>
      </c>
      <c r="B142" s="202" t="s">
        <v>516</v>
      </c>
      <c r="C142" s="204" t="s">
        <v>272</v>
      </c>
      <c r="D142" s="202" t="s">
        <v>50</v>
      </c>
      <c r="E142" s="252">
        <f>23.98*21</f>
        <v>503.58</v>
      </c>
      <c r="F142" s="271">
        <f>0.009+9.38</f>
        <v>9.39</v>
      </c>
      <c r="G142" s="271">
        <f>1.35+1.74+0.02</f>
        <v>3.11</v>
      </c>
      <c r="H142" s="284">
        <f t="shared" si="16"/>
        <v>12.5</v>
      </c>
      <c r="I142" s="284">
        <f t="shared" si="17"/>
        <v>4728.62</v>
      </c>
      <c r="J142" s="284">
        <f t="shared" si="18"/>
        <v>1566.13</v>
      </c>
      <c r="K142" s="284">
        <f t="shared" si="19"/>
        <v>6294.75</v>
      </c>
      <c r="L142" s="170"/>
      <c r="M142" s="340"/>
      <c r="N142" s="169"/>
      <c r="O142" s="171">
        <v>4.67</v>
      </c>
      <c r="P142" s="171">
        <v>2.34</v>
      </c>
    </row>
    <row r="143" spans="1:16" s="160" customFormat="1" ht="25.5">
      <c r="A143" s="202" t="s">
        <v>384</v>
      </c>
      <c r="B143" s="202" t="s">
        <v>517</v>
      </c>
      <c r="C143" s="204" t="s">
        <v>274</v>
      </c>
      <c r="D143" s="202" t="s">
        <v>50</v>
      </c>
      <c r="E143" s="252">
        <v>200</v>
      </c>
      <c r="F143" s="271">
        <f>36.73+0.03</f>
        <v>36.76</v>
      </c>
      <c r="G143" s="271">
        <f>1.53+1.97</f>
        <v>3.5</v>
      </c>
      <c r="H143" s="284">
        <f t="shared" si="16"/>
        <v>40.26</v>
      </c>
      <c r="I143" s="284">
        <f t="shared" si="17"/>
        <v>7352</v>
      </c>
      <c r="J143" s="284">
        <f>E143*G143</f>
        <v>700</v>
      </c>
      <c r="K143" s="284">
        <f t="shared" si="19"/>
        <v>8052</v>
      </c>
      <c r="L143" s="170"/>
      <c r="M143" s="340"/>
      <c r="N143" s="169"/>
      <c r="O143" s="171"/>
      <c r="P143" s="171"/>
    </row>
    <row r="144" spans="1:16" s="169" customFormat="1" ht="25.5">
      <c r="A144" s="202" t="s">
        <v>385</v>
      </c>
      <c r="B144" s="202" t="s">
        <v>518</v>
      </c>
      <c r="C144" s="204" t="s">
        <v>273</v>
      </c>
      <c r="D144" s="202" t="s">
        <v>50</v>
      </c>
      <c r="E144" s="252">
        <f>200*4</f>
        <v>800</v>
      </c>
      <c r="F144" s="271">
        <f>50.88+0.03</f>
        <v>50.91</v>
      </c>
      <c r="G144" s="271">
        <f>1.85+2.37</f>
        <v>4.22</v>
      </c>
      <c r="H144" s="284">
        <f t="shared" si="16"/>
        <v>55.13</v>
      </c>
      <c r="I144" s="284">
        <f t="shared" si="17"/>
        <v>40728</v>
      </c>
      <c r="J144" s="284">
        <f t="shared" si="18"/>
        <v>3376</v>
      </c>
      <c r="K144" s="284">
        <f t="shared" si="19"/>
        <v>44104</v>
      </c>
      <c r="L144" s="170"/>
      <c r="M144" s="340"/>
      <c r="N144" s="160"/>
      <c r="O144" s="171">
        <v>0.19</v>
      </c>
      <c r="P144" s="171">
        <v>1.6</v>
      </c>
    </row>
    <row r="145" spans="1:16" s="169" customFormat="1" ht="12.75">
      <c r="A145" s="230"/>
      <c r="B145" s="230"/>
      <c r="C145" s="231" t="s">
        <v>17</v>
      </c>
      <c r="D145" s="230"/>
      <c r="E145" s="255"/>
      <c r="F145" s="286"/>
      <c r="G145" s="286"/>
      <c r="H145" s="286"/>
      <c r="I145" s="286"/>
      <c r="J145" s="286"/>
      <c r="K145" s="286"/>
      <c r="L145" s="232">
        <f>SUM(K138:K144)</f>
        <v>60897.09</v>
      </c>
      <c r="M145" s="347"/>
      <c r="N145" s="235"/>
      <c r="O145" s="171"/>
      <c r="P145" s="171"/>
    </row>
    <row r="146" spans="1:16" s="169" customFormat="1" ht="12.75">
      <c r="A146" s="166" t="s">
        <v>106</v>
      </c>
      <c r="B146" s="166"/>
      <c r="C146" s="168" t="s">
        <v>276</v>
      </c>
      <c r="D146" s="202"/>
      <c r="E146" s="252"/>
      <c r="F146" s="293"/>
      <c r="G146" s="293"/>
      <c r="H146" s="284"/>
      <c r="I146" s="284"/>
      <c r="J146" s="284"/>
      <c r="K146" s="284"/>
      <c r="L146" s="170"/>
      <c r="M146" s="340"/>
      <c r="O146" s="171">
        <v>7.64</v>
      </c>
      <c r="P146" s="171">
        <v>5.92</v>
      </c>
    </row>
    <row r="147" spans="1:16" s="172" customFormat="1" ht="12" customHeight="1">
      <c r="A147" s="202" t="s">
        <v>107</v>
      </c>
      <c r="B147" s="202" t="s">
        <v>454</v>
      </c>
      <c r="C147" s="204" t="s">
        <v>281</v>
      </c>
      <c r="D147" s="134" t="s">
        <v>243</v>
      </c>
      <c r="E147" s="252">
        <v>1</v>
      </c>
      <c r="F147" s="271">
        <f>52.78+6.29+269.88+60.6+4270.91+166.65+864+180+142.4+103.5+32.27+172.66+139.68+15.52+3.88+31.8+14.7+43.1+35.66+7.71+22.74+64.38</f>
        <v>6701.11</v>
      </c>
      <c r="G147" s="271">
        <f>263.76</f>
        <v>263.76</v>
      </c>
      <c r="H147" s="273">
        <f>G147+F147</f>
        <v>6964.87</v>
      </c>
      <c r="I147" s="271">
        <f>F147*E147</f>
        <v>6701.11</v>
      </c>
      <c r="J147" s="271">
        <f>G147*E147</f>
        <v>263.76</v>
      </c>
      <c r="K147" s="271">
        <f>I147+J147</f>
        <v>6964.87</v>
      </c>
      <c r="L147" s="170"/>
      <c r="M147" s="340"/>
      <c r="N147" s="169"/>
      <c r="O147" s="171">
        <v>5.55</v>
      </c>
      <c r="P147" s="171">
        <v>1.2</v>
      </c>
    </row>
    <row r="148" spans="1:16" s="172" customFormat="1" ht="12" customHeight="1">
      <c r="A148" s="202" t="s">
        <v>307</v>
      </c>
      <c r="B148" s="202" t="s">
        <v>455</v>
      </c>
      <c r="C148" s="204" t="s">
        <v>282</v>
      </c>
      <c r="D148" s="134" t="s">
        <v>243</v>
      </c>
      <c r="E148" s="252">
        <v>1</v>
      </c>
      <c r="F148" s="271">
        <f>65.8+17.62+5.97+24.5+38.48+12.2+26.35+20.79+7.78+47.52+53.76+164.8+72.3+40.95+75.6+103.5+45.21+75.6+193.44+577.6+151.17+5160.68+39+238.23+7.42+90.89</f>
        <v>7357.16</v>
      </c>
      <c r="G148" s="271">
        <f>277.92+1060.44</f>
        <v>1338.36</v>
      </c>
      <c r="H148" s="273">
        <f>G148+F148</f>
        <v>8695.52</v>
      </c>
      <c r="I148" s="271">
        <f>F148*E148</f>
        <v>7357.16</v>
      </c>
      <c r="J148" s="271">
        <f>G148*E148</f>
        <v>1338.36</v>
      </c>
      <c r="K148" s="271">
        <f>I148+J148</f>
        <v>8695.52</v>
      </c>
      <c r="L148" s="170"/>
      <c r="M148" s="340"/>
      <c r="N148" s="169"/>
      <c r="O148" s="171"/>
      <c r="P148" s="171"/>
    </row>
    <row r="149" spans="1:16" s="169" customFormat="1" ht="12.75">
      <c r="A149" s="202" t="s">
        <v>308</v>
      </c>
      <c r="B149" s="202" t="s">
        <v>456</v>
      </c>
      <c r="C149" s="204" t="s">
        <v>283</v>
      </c>
      <c r="D149" s="134" t="s">
        <v>243</v>
      </c>
      <c r="E149" s="252">
        <v>1</v>
      </c>
      <c r="F149" s="271">
        <f>597.9+730+3.42+127.5+558.6+9.86</f>
        <v>2027.28</v>
      </c>
      <c r="G149" s="271">
        <f>163.54+127.38</f>
        <v>290.92</v>
      </c>
      <c r="H149" s="273">
        <f>G149+F149</f>
        <v>2318.2</v>
      </c>
      <c r="I149" s="271">
        <f>F149*E149</f>
        <v>2027.28</v>
      </c>
      <c r="J149" s="271">
        <f>G149*E149</f>
        <v>290.92</v>
      </c>
      <c r="K149" s="271">
        <f>I149+J149</f>
        <v>2318.2</v>
      </c>
      <c r="L149" s="170"/>
      <c r="M149" s="340"/>
      <c r="N149" s="172"/>
      <c r="O149" s="171">
        <v>3.49</v>
      </c>
      <c r="P149" s="171">
        <v>1.2</v>
      </c>
    </row>
    <row r="150" spans="1:16" s="235" customFormat="1" ht="12.75">
      <c r="A150" s="202" t="s">
        <v>309</v>
      </c>
      <c r="B150" s="202" t="s">
        <v>457</v>
      </c>
      <c r="C150" s="204" t="s">
        <v>284</v>
      </c>
      <c r="D150" s="134" t="s">
        <v>243</v>
      </c>
      <c r="E150" s="252">
        <v>1</v>
      </c>
      <c r="F150" s="271">
        <f>3.42+1718+286.4+202.38+675.9+16.2</f>
        <v>2902.3</v>
      </c>
      <c r="G150" s="271">
        <f>268.2+208.91</f>
        <v>477.11</v>
      </c>
      <c r="H150" s="273">
        <f>G150+F150</f>
        <v>3379.41</v>
      </c>
      <c r="I150" s="271">
        <f>F150*E150</f>
        <v>2902.3</v>
      </c>
      <c r="J150" s="271">
        <f>G150*E150</f>
        <v>477.11</v>
      </c>
      <c r="K150" s="271">
        <f>I150+J150</f>
        <v>3379.41</v>
      </c>
      <c r="L150" s="170"/>
      <c r="M150" s="340"/>
      <c r="N150" s="169"/>
      <c r="O150" s="234"/>
      <c r="P150" s="234"/>
    </row>
    <row r="151" spans="1:16" s="125" customFormat="1" ht="12.75">
      <c r="A151" s="230"/>
      <c r="B151" s="230"/>
      <c r="C151" s="231" t="s">
        <v>17</v>
      </c>
      <c r="D151" s="305"/>
      <c r="E151" s="255"/>
      <c r="F151" s="286"/>
      <c r="G151" s="286"/>
      <c r="H151" s="286"/>
      <c r="I151" s="291"/>
      <c r="J151" s="291"/>
      <c r="K151" s="286"/>
      <c r="L151" s="232">
        <f>SUM(K147:K150)</f>
        <v>21358</v>
      </c>
      <c r="M151" s="347"/>
      <c r="N151" s="235"/>
      <c r="O151" s="175"/>
      <c r="P151" s="175"/>
    </row>
    <row r="152" spans="1:16" s="169" customFormat="1" ht="12.75">
      <c r="A152" s="173"/>
      <c r="B152" s="173"/>
      <c r="C152" s="174" t="s">
        <v>144</v>
      </c>
      <c r="D152" s="173"/>
      <c r="E152" s="250"/>
      <c r="F152" s="272"/>
      <c r="G152" s="272"/>
      <c r="H152" s="278"/>
      <c r="I152" s="279">
        <f>SUM(I123:I151)</f>
        <v>77186.03</v>
      </c>
      <c r="J152" s="279">
        <f>SUM(J123:J151)</f>
        <v>10164.56</v>
      </c>
      <c r="K152" s="272"/>
      <c r="L152" s="176">
        <f>SUM(L123:L151)</f>
        <v>87350.59</v>
      </c>
      <c r="M152" s="331">
        <f>L152</f>
        <v>87350.59</v>
      </c>
      <c r="N152" s="238">
        <f>L152*1.2698</f>
        <v>110917.78</v>
      </c>
      <c r="O152" s="158"/>
      <c r="P152" s="158"/>
    </row>
    <row r="153" spans="1:16" s="125" customFormat="1" ht="12.75">
      <c r="A153" s="107">
        <v>6</v>
      </c>
      <c r="B153" s="107"/>
      <c r="C153" s="105" t="s">
        <v>11</v>
      </c>
      <c r="D153" s="134"/>
      <c r="E153" s="253"/>
      <c r="F153" s="271"/>
      <c r="G153" s="280"/>
      <c r="H153" s="273"/>
      <c r="I153" s="283"/>
      <c r="J153" s="283"/>
      <c r="K153" s="283"/>
      <c r="L153" s="135"/>
      <c r="M153" s="344"/>
      <c r="O153" s="128"/>
      <c r="P153" s="130"/>
    </row>
    <row r="154" spans="1:16" s="125" customFormat="1" ht="12.75">
      <c r="A154" s="107" t="s">
        <v>386</v>
      </c>
      <c r="B154" s="107"/>
      <c r="C154" s="105" t="s">
        <v>38</v>
      </c>
      <c r="D154" s="134"/>
      <c r="E154" s="253"/>
      <c r="F154" s="271"/>
      <c r="G154" s="280"/>
      <c r="H154" s="273"/>
      <c r="I154" s="283"/>
      <c r="J154" s="283"/>
      <c r="K154" s="283"/>
      <c r="L154" s="135"/>
      <c r="M154" s="344"/>
      <c r="O154" s="128">
        <v>0.68</v>
      </c>
      <c r="P154" s="130">
        <v>1.38</v>
      </c>
    </row>
    <row r="155" spans="1:16" s="125" customFormat="1" ht="12.75">
      <c r="A155" s="134" t="s">
        <v>108</v>
      </c>
      <c r="B155" s="134" t="s">
        <v>519</v>
      </c>
      <c r="C155" s="197" t="s">
        <v>298</v>
      </c>
      <c r="D155" s="134" t="s">
        <v>23</v>
      </c>
      <c r="E155" s="253">
        <f>1198+52.81</f>
        <v>1250.81</v>
      </c>
      <c r="F155" s="271">
        <v>0.27</v>
      </c>
      <c r="G155" s="271">
        <v>2.03</v>
      </c>
      <c r="H155" s="273">
        <f>G155+F155</f>
        <v>2.3</v>
      </c>
      <c r="I155" s="271">
        <f>F155*E155</f>
        <v>337.72</v>
      </c>
      <c r="J155" s="271">
        <f>G155*E155</f>
        <v>2539.14</v>
      </c>
      <c r="K155" s="271">
        <f>I155+J155</f>
        <v>2876.86</v>
      </c>
      <c r="L155" s="135"/>
      <c r="M155" s="344"/>
      <c r="O155" s="128">
        <v>526.43</v>
      </c>
      <c r="P155" s="130">
        <v>323.95</v>
      </c>
    </row>
    <row r="156" spans="1:16" s="125" customFormat="1" ht="12.75">
      <c r="A156" s="226"/>
      <c r="B156" s="226"/>
      <c r="C156" s="222" t="s">
        <v>137</v>
      </c>
      <c r="D156" s="226"/>
      <c r="E156" s="251"/>
      <c r="F156" s="275"/>
      <c r="G156" s="275"/>
      <c r="H156" s="282"/>
      <c r="I156" s="275"/>
      <c r="J156" s="275"/>
      <c r="K156" s="275"/>
      <c r="L156" s="224">
        <f>SUM(K155:K155)</f>
        <v>2876.86</v>
      </c>
      <c r="M156" s="341"/>
      <c r="N156" s="225"/>
      <c r="O156" s="128"/>
      <c r="P156" s="130"/>
    </row>
    <row r="157" spans="1:16" s="125" customFormat="1" ht="12.75">
      <c r="A157" s="173"/>
      <c r="B157" s="173"/>
      <c r="C157" s="174" t="s">
        <v>145</v>
      </c>
      <c r="D157" s="173"/>
      <c r="E157" s="250"/>
      <c r="F157" s="272"/>
      <c r="G157" s="272"/>
      <c r="H157" s="278"/>
      <c r="I157" s="279">
        <f>SUM(I153:I156)</f>
        <v>337.72</v>
      </c>
      <c r="J157" s="279">
        <f>SUM(J153:J156)</f>
        <v>2539.14</v>
      </c>
      <c r="K157" s="272"/>
      <c r="L157" s="176">
        <f>SUM(L153:L156)</f>
        <v>2876.86</v>
      </c>
      <c r="M157" s="331">
        <f>L157</f>
        <v>2876.86</v>
      </c>
      <c r="N157" s="238">
        <f>L157*1.2698</f>
        <v>3653.04</v>
      </c>
      <c r="O157" s="128"/>
      <c r="P157" s="130"/>
    </row>
    <row r="158" spans="1:16" s="125" customFormat="1" ht="12.75">
      <c r="A158" s="134"/>
      <c r="B158" s="134"/>
      <c r="C158" s="106"/>
      <c r="D158" s="134"/>
      <c r="E158" s="253"/>
      <c r="F158" s="271"/>
      <c r="G158" s="280"/>
      <c r="H158" s="273"/>
      <c r="I158" s="283"/>
      <c r="J158" s="283"/>
      <c r="K158" s="283"/>
      <c r="L158" s="131"/>
      <c r="M158" s="332"/>
      <c r="O158" s="128"/>
      <c r="P158" s="130"/>
    </row>
    <row r="159" spans="1:16" s="125" customFormat="1" ht="12.75" hidden="1" outlineLevel="1">
      <c r="A159" s="134"/>
      <c r="B159" s="134"/>
      <c r="C159" s="106"/>
      <c r="D159" s="134"/>
      <c r="E159" s="253"/>
      <c r="F159" s="271"/>
      <c r="G159" s="280"/>
      <c r="H159" s="273"/>
      <c r="I159" s="283"/>
      <c r="J159" s="283"/>
      <c r="K159" s="283"/>
      <c r="L159" s="131"/>
      <c r="M159" s="332"/>
      <c r="O159" s="128"/>
      <c r="P159" s="130"/>
    </row>
    <row r="160" spans="1:16" s="125" customFormat="1" ht="12.75" hidden="1" outlineLevel="1">
      <c r="A160" s="107">
        <v>9</v>
      </c>
      <c r="B160" s="107"/>
      <c r="C160" s="105" t="s">
        <v>21</v>
      </c>
      <c r="D160" s="134"/>
      <c r="E160" s="253"/>
      <c r="F160" s="271"/>
      <c r="G160" s="280"/>
      <c r="H160" s="273"/>
      <c r="I160" s="283"/>
      <c r="J160" s="283"/>
      <c r="K160" s="283"/>
      <c r="L160" s="135"/>
      <c r="M160" s="344"/>
      <c r="O160" s="128"/>
      <c r="P160" s="130"/>
    </row>
    <row r="161" spans="1:16" s="125" customFormat="1" ht="12.75" hidden="1" outlineLevel="1">
      <c r="A161" s="107" t="s">
        <v>148</v>
      </c>
      <c r="B161" s="107"/>
      <c r="C161" s="105" t="s">
        <v>39</v>
      </c>
      <c r="D161" s="134"/>
      <c r="E161" s="253"/>
      <c r="F161" s="271"/>
      <c r="G161" s="280"/>
      <c r="H161" s="273"/>
      <c r="I161" s="283"/>
      <c r="J161" s="283"/>
      <c r="K161" s="283"/>
      <c r="L161" s="135"/>
      <c r="M161" s="344"/>
      <c r="O161" s="195"/>
      <c r="P161" s="130">
        <v>10400.64</v>
      </c>
    </row>
    <row r="162" spans="1:16" s="125" customFormat="1" ht="12.75" hidden="1" outlineLevel="1">
      <c r="A162" s="134" t="s">
        <v>149</v>
      </c>
      <c r="B162" s="134"/>
      <c r="C162" s="197" t="s">
        <v>139</v>
      </c>
      <c r="D162" s="134" t="s">
        <v>24</v>
      </c>
      <c r="E162" s="253">
        <v>3</v>
      </c>
      <c r="F162" s="272">
        <f>O161*$Q$8</f>
        <v>0</v>
      </c>
      <c r="G162" s="271">
        <f>P161*$Q$8</f>
        <v>13312.82</v>
      </c>
      <c r="H162" s="273">
        <f aca="true" t="shared" si="20" ref="H162:H170">G162+F162</f>
        <v>13312.82</v>
      </c>
      <c r="I162" s="274">
        <f aca="true" t="shared" si="21" ref="I162:I170">F162*E162</f>
        <v>0</v>
      </c>
      <c r="J162" s="271">
        <f aca="true" t="shared" si="22" ref="J162:J170">G162*E162</f>
        <v>39938.46</v>
      </c>
      <c r="K162" s="271">
        <f aca="true" t="shared" si="23" ref="K162:K170">I162+J162</f>
        <v>39938.46</v>
      </c>
      <c r="L162" s="135"/>
      <c r="M162" s="344"/>
      <c r="O162" s="195"/>
      <c r="P162" s="130">
        <v>3900.24</v>
      </c>
    </row>
    <row r="163" spans="1:16" s="125" customFormat="1" ht="12.75" hidden="1" outlineLevel="1">
      <c r="A163" s="134" t="s">
        <v>150</v>
      </c>
      <c r="B163" s="134"/>
      <c r="C163" s="197" t="s">
        <v>40</v>
      </c>
      <c r="D163" s="134" t="s">
        <v>24</v>
      </c>
      <c r="E163" s="253">
        <v>3</v>
      </c>
      <c r="F163" s="272">
        <f aca="true" t="shared" si="24" ref="F163:F170">O162*$Q$8</f>
        <v>0</v>
      </c>
      <c r="G163" s="271">
        <f aca="true" t="shared" si="25" ref="G163:G170">P162*$Q$8</f>
        <v>4992.31</v>
      </c>
      <c r="H163" s="273">
        <f t="shared" si="20"/>
        <v>4992.31</v>
      </c>
      <c r="I163" s="274">
        <f t="shared" si="21"/>
        <v>0</v>
      </c>
      <c r="J163" s="271">
        <f t="shared" si="22"/>
        <v>14976.93</v>
      </c>
      <c r="K163" s="271">
        <f t="shared" si="23"/>
        <v>14976.93</v>
      </c>
      <c r="L163" s="135"/>
      <c r="M163" s="344"/>
      <c r="O163" s="195"/>
      <c r="P163" s="130">
        <v>2732.4</v>
      </c>
    </row>
    <row r="164" spans="1:16" s="125" customFormat="1" ht="12.75" hidden="1" outlineLevel="1">
      <c r="A164" s="134" t="s">
        <v>151</v>
      </c>
      <c r="B164" s="134"/>
      <c r="C164" s="197" t="s">
        <v>41</v>
      </c>
      <c r="D164" s="134" t="s">
        <v>24</v>
      </c>
      <c r="E164" s="253">
        <v>3</v>
      </c>
      <c r="F164" s="272">
        <f t="shared" si="24"/>
        <v>0</v>
      </c>
      <c r="G164" s="271">
        <f t="shared" si="25"/>
        <v>3497.47</v>
      </c>
      <c r="H164" s="273">
        <f t="shared" si="20"/>
        <v>3497.47</v>
      </c>
      <c r="I164" s="274">
        <f t="shared" si="21"/>
        <v>0</v>
      </c>
      <c r="J164" s="271">
        <f t="shared" si="22"/>
        <v>10492.41</v>
      </c>
      <c r="K164" s="271">
        <f t="shared" si="23"/>
        <v>10492.41</v>
      </c>
      <c r="L164" s="135"/>
      <c r="M164" s="344"/>
      <c r="O164" s="195"/>
      <c r="P164" s="130">
        <v>2732.4</v>
      </c>
    </row>
    <row r="165" spans="1:16" s="125" customFormat="1" ht="12.75" hidden="1" outlineLevel="1">
      <c r="A165" s="134" t="s">
        <v>152</v>
      </c>
      <c r="B165" s="134"/>
      <c r="C165" s="197" t="s">
        <v>42</v>
      </c>
      <c r="D165" s="134" t="s">
        <v>24</v>
      </c>
      <c r="E165" s="253">
        <v>3</v>
      </c>
      <c r="F165" s="272">
        <f t="shared" si="24"/>
        <v>0</v>
      </c>
      <c r="G165" s="271">
        <f t="shared" si="25"/>
        <v>3497.47</v>
      </c>
      <c r="H165" s="273">
        <f t="shared" si="20"/>
        <v>3497.47</v>
      </c>
      <c r="I165" s="274">
        <f t="shared" si="21"/>
        <v>0</v>
      </c>
      <c r="J165" s="271">
        <f t="shared" si="22"/>
        <v>10492.41</v>
      </c>
      <c r="K165" s="271">
        <f t="shared" si="23"/>
        <v>10492.41</v>
      </c>
      <c r="L165" s="135"/>
      <c r="M165" s="344"/>
      <c r="O165" s="195"/>
      <c r="P165" s="130">
        <v>1782</v>
      </c>
    </row>
    <row r="166" spans="1:16" s="125" customFormat="1" ht="12.75" hidden="1" outlineLevel="1">
      <c r="A166" s="134" t="s">
        <v>153</v>
      </c>
      <c r="B166" s="134"/>
      <c r="C166" s="197" t="s">
        <v>3</v>
      </c>
      <c r="D166" s="134" t="s">
        <v>24</v>
      </c>
      <c r="E166" s="253">
        <v>3</v>
      </c>
      <c r="F166" s="272">
        <f t="shared" si="24"/>
        <v>0</v>
      </c>
      <c r="G166" s="271">
        <f t="shared" si="25"/>
        <v>2280.96</v>
      </c>
      <c r="H166" s="273">
        <f t="shared" si="20"/>
        <v>2280.96</v>
      </c>
      <c r="I166" s="274">
        <f t="shared" si="21"/>
        <v>0</v>
      </c>
      <c r="J166" s="271">
        <f t="shared" si="22"/>
        <v>6842.88</v>
      </c>
      <c r="K166" s="271">
        <f t="shared" si="23"/>
        <v>6842.88</v>
      </c>
      <c r="L166" s="135"/>
      <c r="M166" s="344"/>
      <c r="O166" s="195"/>
      <c r="P166" s="130">
        <v>1538</v>
      </c>
    </row>
    <row r="167" spans="1:16" s="125" customFormat="1" ht="12.75" hidden="1" outlineLevel="1">
      <c r="A167" s="134" t="s">
        <v>154</v>
      </c>
      <c r="B167" s="134"/>
      <c r="C167" s="197" t="s">
        <v>43</v>
      </c>
      <c r="D167" s="134" t="s">
        <v>24</v>
      </c>
      <c r="E167" s="253">
        <v>3</v>
      </c>
      <c r="F167" s="272">
        <f t="shared" si="24"/>
        <v>0</v>
      </c>
      <c r="G167" s="271">
        <f t="shared" si="25"/>
        <v>1968.64</v>
      </c>
      <c r="H167" s="273">
        <f>G167+F167</f>
        <v>1968.64</v>
      </c>
      <c r="I167" s="274">
        <f t="shared" si="21"/>
        <v>0</v>
      </c>
      <c r="J167" s="271">
        <f t="shared" si="22"/>
        <v>5905.92</v>
      </c>
      <c r="K167" s="271">
        <f t="shared" si="23"/>
        <v>5905.92</v>
      </c>
      <c r="L167" s="135"/>
      <c r="M167" s="344"/>
      <c r="O167" s="195"/>
      <c r="P167" s="130">
        <v>1782</v>
      </c>
    </row>
    <row r="168" spans="1:16" s="125" customFormat="1" ht="12.75" hidden="1" outlineLevel="1">
      <c r="A168" s="134" t="s">
        <v>155</v>
      </c>
      <c r="B168" s="134"/>
      <c r="C168" s="197" t="s">
        <v>44</v>
      </c>
      <c r="D168" s="134" t="s">
        <v>24</v>
      </c>
      <c r="E168" s="253">
        <v>3</v>
      </c>
      <c r="F168" s="272">
        <f t="shared" si="24"/>
        <v>0</v>
      </c>
      <c r="G168" s="271">
        <f t="shared" si="25"/>
        <v>2280.96</v>
      </c>
      <c r="H168" s="273">
        <f t="shared" si="20"/>
        <v>2280.96</v>
      </c>
      <c r="I168" s="274">
        <f t="shared" si="21"/>
        <v>0</v>
      </c>
      <c r="J168" s="271">
        <f t="shared" si="22"/>
        <v>6842.88</v>
      </c>
      <c r="K168" s="271">
        <f t="shared" si="23"/>
        <v>6842.88</v>
      </c>
      <c r="L168" s="135"/>
      <c r="M168" s="344"/>
      <c r="O168" s="195"/>
      <c r="P168" s="130">
        <v>1094.86</v>
      </c>
    </row>
    <row r="169" spans="1:16" s="125" customFormat="1" ht="12.75" hidden="1" outlineLevel="1">
      <c r="A169" s="134" t="s">
        <v>156</v>
      </c>
      <c r="B169" s="134"/>
      <c r="C169" s="197" t="s">
        <v>111</v>
      </c>
      <c r="D169" s="134" t="s">
        <v>24</v>
      </c>
      <c r="E169" s="253">
        <v>3</v>
      </c>
      <c r="F169" s="272">
        <f t="shared" si="24"/>
        <v>0</v>
      </c>
      <c r="G169" s="271">
        <f t="shared" si="25"/>
        <v>1401.42</v>
      </c>
      <c r="H169" s="273">
        <f>G169+F169</f>
        <v>1401.42</v>
      </c>
      <c r="I169" s="274">
        <f t="shared" si="21"/>
        <v>0</v>
      </c>
      <c r="J169" s="271">
        <f>G169*E169</f>
        <v>4204.26</v>
      </c>
      <c r="K169" s="271">
        <f t="shared" si="23"/>
        <v>4204.26</v>
      </c>
      <c r="L169" s="135"/>
      <c r="M169" s="344"/>
      <c r="O169" s="195"/>
      <c r="P169" s="130">
        <v>1613.58</v>
      </c>
    </row>
    <row r="170" spans="1:16" s="225" customFormat="1" ht="12.75" hidden="1" outlineLevel="1">
      <c r="A170" s="134" t="s">
        <v>157</v>
      </c>
      <c r="B170" s="134"/>
      <c r="C170" s="197" t="s">
        <v>45</v>
      </c>
      <c r="D170" s="134" t="s">
        <v>24</v>
      </c>
      <c r="E170" s="253">
        <v>3</v>
      </c>
      <c r="F170" s="272">
        <f t="shared" si="24"/>
        <v>0</v>
      </c>
      <c r="G170" s="271">
        <f t="shared" si="25"/>
        <v>2065.38</v>
      </c>
      <c r="H170" s="273">
        <f t="shared" si="20"/>
        <v>2065.38</v>
      </c>
      <c r="I170" s="274">
        <f t="shared" si="21"/>
        <v>0</v>
      </c>
      <c r="J170" s="271">
        <f t="shared" si="22"/>
        <v>6196.14</v>
      </c>
      <c r="K170" s="271">
        <f t="shared" si="23"/>
        <v>6196.14</v>
      </c>
      <c r="L170" s="135"/>
      <c r="M170" s="344"/>
      <c r="N170" s="125"/>
      <c r="O170" s="223"/>
      <c r="P170" s="223"/>
    </row>
    <row r="171" spans="1:16" s="125" customFormat="1" ht="12.75" hidden="1" outlineLevel="1">
      <c r="A171" s="226"/>
      <c r="B171" s="226"/>
      <c r="C171" s="222" t="s">
        <v>137</v>
      </c>
      <c r="D171" s="226"/>
      <c r="E171" s="251"/>
      <c r="F171" s="275"/>
      <c r="G171" s="275"/>
      <c r="H171" s="282"/>
      <c r="I171" s="275"/>
      <c r="J171" s="275"/>
      <c r="K171" s="275"/>
      <c r="L171" s="224">
        <f>SUM(K162:K170)</f>
        <v>105892.29</v>
      </c>
      <c r="M171" s="341"/>
      <c r="N171" s="225"/>
      <c r="O171" s="128"/>
      <c r="P171" s="130"/>
    </row>
    <row r="172" spans="1:16" s="125" customFormat="1" ht="12.75" hidden="1" outlineLevel="1">
      <c r="A172" s="107" t="s">
        <v>158</v>
      </c>
      <c r="B172" s="107"/>
      <c r="C172" s="105" t="s">
        <v>46</v>
      </c>
      <c r="D172" s="134"/>
      <c r="E172" s="253"/>
      <c r="F172" s="271"/>
      <c r="G172" s="280"/>
      <c r="H172" s="273"/>
      <c r="I172" s="283"/>
      <c r="J172" s="283"/>
      <c r="K172" s="283"/>
      <c r="L172" s="135"/>
      <c r="M172" s="344"/>
      <c r="O172" s="128">
        <f>(10*22)*13</f>
        <v>2860</v>
      </c>
      <c r="P172" s="195"/>
    </row>
    <row r="173" spans="1:16" s="125" customFormat="1" ht="12.75" hidden="1" outlineLevel="1">
      <c r="A173" s="134" t="s">
        <v>159</v>
      </c>
      <c r="B173" s="134"/>
      <c r="C173" s="197" t="s">
        <v>47</v>
      </c>
      <c r="D173" s="134" t="s">
        <v>24</v>
      </c>
      <c r="E173" s="253">
        <v>3</v>
      </c>
      <c r="F173" s="271">
        <f>O172*$Q$8</f>
        <v>3660.8</v>
      </c>
      <c r="G173" s="272">
        <f>P172*$Q$8</f>
        <v>0</v>
      </c>
      <c r="H173" s="273">
        <f aca="true" t="shared" si="26" ref="H173:H181">G173+F173</f>
        <v>3660.8</v>
      </c>
      <c r="I173" s="271">
        <f aca="true" t="shared" si="27" ref="I173:I181">F173*E173</f>
        <v>10982.4</v>
      </c>
      <c r="J173" s="274">
        <f aca="true" t="shared" si="28" ref="J173:J181">G173*E173</f>
        <v>0</v>
      </c>
      <c r="K173" s="271">
        <f aca="true" t="shared" si="29" ref="K173:K181">I173+J173</f>
        <v>10982.4</v>
      </c>
      <c r="L173" s="135"/>
      <c r="M173" s="344"/>
      <c r="O173" s="128">
        <f>(1.7*20)*13</f>
        <v>442</v>
      </c>
      <c r="P173" s="195"/>
    </row>
    <row r="174" spans="1:16" s="125" customFormat="1" ht="12.75" hidden="1" outlineLevel="1">
      <c r="A174" s="134" t="s">
        <v>160</v>
      </c>
      <c r="B174" s="134"/>
      <c r="C174" s="197" t="s">
        <v>48</v>
      </c>
      <c r="D174" s="134" t="s">
        <v>24</v>
      </c>
      <c r="E174" s="253">
        <v>3</v>
      </c>
      <c r="F174" s="271">
        <f aca="true" t="shared" si="30" ref="F174:F181">O173*$Q$8</f>
        <v>565.76</v>
      </c>
      <c r="G174" s="272">
        <f aca="true" t="shared" si="31" ref="G174:G181">P173*$Q$8</f>
        <v>0</v>
      </c>
      <c r="H174" s="273">
        <f t="shared" si="26"/>
        <v>565.76</v>
      </c>
      <c r="I174" s="271">
        <f t="shared" si="27"/>
        <v>1697.28</v>
      </c>
      <c r="J174" s="274">
        <f t="shared" si="28"/>
        <v>0</v>
      </c>
      <c r="K174" s="271">
        <f t="shared" si="29"/>
        <v>1697.28</v>
      </c>
      <c r="L174" s="135"/>
      <c r="M174" s="344"/>
      <c r="O174" s="128">
        <v>50</v>
      </c>
      <c r="P174" s="195"/>
    </row>
    <row r="175" spans="1:16" s="125" customFormat="1" ht="12.75" hidden="1" outlineLevel="1">
      <c r="A175" s="134" t="s">
        <v>161</v>
      </c>
      <c r="B175" s="134"/>
      <c r="C175" s="197" t="s">
        <v>66</v>
      </c>
      <c r="D175" s="134" t="s">
        <v>24</v>
      </c>
      <c r="E175" s="253">
        <v>3</v>
      </c>
      <c r="F175" s="271">
        <f t="shared" si="30"/>
        <v>64</v>
      </c>
      <c r="G175" s="272">
        <f t="shared" si="31"/>
        <v>0</v>
      </c>
      <c r="H175" s="273">
        <f t="shared" si="26"/>
        <v>64</v>
      </c>
      <c r="I175" s="271">
        <f t="shared" si="27"/>
        <v>192</v>
      </c>
      <c r="J175" s="274">
        <f t="shared" si="28"/>
        <v>0</v>
      </c>
      <c r="K175" s="271">
        <f t="shared" si="29"/>
        <v>192</v>
      </c>
      <c r="L175" s="135"/>
      <c r="M175" s="344"/>
      <c r="O175" s="128">
        <v>180</v>
      </c>
      <c r="P175" s="195"/>
    </row>
    <row r="176" spans="1:16" s="125" customFormat="1" ht="12.75" hidden="1" outlineLevel="1">
      <c r="A176" s="134" t="s">
        <v>162</v>
      </c>
      <c r="B176" s="134"/>
      <c r="C176" s="197" t="s">
        <v>67</v>
      </c>
      <c r="D176" s="134" t="s">
        <v>24</v>
      </c>
      <c r="E176" s="253">
        <v>3</v>
      </c>
      <c r="F176" s="271">
        <f t="shared" si="30"/>
        <v>230.4</v>
      </c>
      <c r="G176" s="272">
        <f t="shared" si="31"/>
        <v>0</v>
      </c>
      <c r="H176" s="273">
        <f t="shared" si="26"/>
        <v>230.4</v>
      </c>
      <c r="I176" s="271">
        <f t="shared" si="27"/>
        <v>691.2</v>
      </c>
      <c r="J176" s="274">
        <f t="shared" si="28"/>
        <v>0</v>
      </c>
      <c r="K176" s="271">
        <f t="shared" si="29"/>
        <v>691.2</v>
      </c>
      <c r="L176" s="135"/>
      <c r="M176" s="344"/>
      <c r="O176" s="128">
        <v>120</v>
      </c>
      <c r="P176" s="195"/>
    </row>
    <row r="177" spans="1:16" s="125" customFormat="1" ht="12.75" hidden="1" outlineLevel="1">
      <c r="A177" s="134" t="s">
        <v>163</v>
      </c>
      <c r="B177" s="134"/>
      <c r="C177" s="197" t="s">
        <v>68</v>
      </c>
      <c r="D177" s="134" t="s">
        <v>24</v>
      </c>
      <c r="E177" s="253">
        <v>3</v>
      </c>
      <c r="F177" s="271">
        <f t="shared" si="30"/>
        <v>153.6</v>
      </c>
      <c r="G177" s="272">
        <f t="shared" si="31"/>
        <v>0</v>
      </c>
      <c r="H177" s="273">
        <f t="shared" si="26"/>
        <v>153.6</v>
      </c>
      <c r="I177" s="271">
        <f t="shared" si="27"/>
        <v>460.8</v>
      </c>
      <c r="J177" s="274">
        <f t="shared" si="28"/>
        <v>0</v>
      </c>
      <c r="K177" s="271">
        <f t="shared" si="29"/>
        <v>460.8</v>
      </c>
      <c r="L177" s="135"/>
      <c r="M177" s="344"/>
      <c r="O177" s="128">
        <v>180</v>
      </c>
      <c r="P177" s="195"/>
    </row>
    <row r="178" spans="1:16" s="125" customFormat="1" ht="12.75" hidden="1" outlineLevel="1">
      <c r="A178" s="134" t="s">
        <v>164</v>
      </c>
      <c r="B178" s="134"/>
      <c r="C178" s="197" t="s">
        <v>69</v>
      </c>
      <c r="D178" s="134" t="s">
        <v>24</v>
      </c>
      <c r="E178" s="253">
        <v>3</v>
      </c>
      <c r="F178" s="271">
        <f t="shared" si="30"/>
        <v>230.4</v>
      </c>
      <c r="G178" s="272">
        <f t="shared" si="31"/>
        <v>0</v>
      </c>
      <c r="H178" s="273">
        <f t="shared" si="26"/>
        <v>230.4</v>
      </c>
      <c r="I178" s="271">
        <f t="shared" si="27"/>
        <v>691.2</v>
      </c>
      <c r="J178" s="274">
        <f t="shared" si="28"/>
        <v>0</v>
      </c>
      <c r="K178" s="271">
        <f t="shared" si="29"/>
        <v>691.2</v>
      </c>
      <c r="L178" s="135"/>
      <c r="M178" s="344"/>
      <c r="O178" s="128">
        <v>720</v>
      </c>
      <c r="P178" s="195"/>
    </row>
    <row r="179" spans="1:16" s="125" customFormat="1" ht="12.75" hidden="1" outlineLevel="1">
      <c r="A179" s="134" t="s">
        <v>165</v>
      </c>
      <c r="B179" s="134"/>
      <c r="C179" s="197" t="s">
        <v>70</v>
      </c>
      <c r="D179" s="134" t="s">
        <v>24</v>
      </c>
      <c r="E179" s="253">
        <v>3</v>
      </c>
      <c r="F179" s="271">
        <f t="shared" si="30"/>
        <v>921.6</v>
      </c>
      <c r="G179" s="272">
        <f t="shared" si="31"/>
        <v>0</v>
      </c>
      <c r="H179" s="273">
        <f t="shared" si="26"/>
        <v>921.6</v>
      </c>
      <c r="I179" s="271">
        <f t="shared" si="27"/>
        <v>2764.8</v>
      </c>
      <c r="J179" s="274">
        <f t="shared" si="28"/>
        <v>0</v>
      </c>
      <c r="K179" s="271">
        <f t="shared" si="29"/>
        <v>2764.8</v>
      </c>
      <c r="L179" s="135"/>
      <c r="M179" s="344"/>
      <c r="O179" s="128">
        <v>500</v>
      </c>
      <c r="P179" s="195"/>
    </row>
    <row r="180" spans="1:16" s="125" customFormat="1" ht="12.75" hidden="1" outlineLevel="1">
      <c r="A180" s="134" t="s">
        <v>166</v>
      </c>
      <c r="B180" s="134"/>
      <c r="C180" s="197" t="s">
        <v>71</v>
      </c>
      <c r="D180" s="134" t="s">
        <v>24</v>
      </c>
      <c r="E180" s="253">
        <v>3</v>
      </c>
      <c r="F180" s="271">
        <f t="shared" si="30"/>
        <v>640</v>
      </c>
      <c r="G180" s="272">
        <f t="shared" si="31"/>
        <v>0</v>
      </c>
      <c r="H180" s="273">
        <f t="shared" si="26"/>
        <v>640</v>
      </c>
      <c r="I180" s="271">
        <f t="shared" si="27"/>
        <v>1920</v>
      </c>
      <c r="J180" s="274">
        <f t="shared" si="28"/>
        <v>0</v>
      </c>
      <c r="K180" s="271">
        <f t="shared" si="29"/>
        <v>1920</v>
      </c>
      <c r="L180" s="135"/>
      <c r="M180" s="344"/>
      <c r="O180" s="128">
        <v>30</v>
      </c>
      <c r="P180" s="195"/>
    </row>
    <row r="181" spans="1:16" s="225" customFormat="1" ht="12.75" hidden="1" outlineLevel="1">
      <c r="A181" s="134" t="s">
        <v>167</v>
      </c>
      <c r="B181" s="134"/>
      <c r="C181" s="197" t="s">
        <v>112</v>
      </c>
      <c r="D181" s="134" t="s">
        <v>26</v>
      </c>
      <c r="E181" s="253">
        <v>2</v>
      </c>
      <c r="F181" s="271">
        <f t="shared" si="30"/>
        <v>38.4</v>
      </c>
      <c r="G181" s="272">
        <f t="shared" si="31"/>
        <v>0</v>
      </c>
      <c r="H181" s="273">
        <f t="shared" si="26"/>
        <v>38.4</v>
      </c>
      <c r="I181" s="271">
        <f t="shared" si="27"/>
        <v>76.8</v>
      </c>
      <c r="J181" s="274">
        <f t="shared" si="28"/>
        <v>0</v>
      </c>
      <c r="K181" s="271">
        <f t="shared" si="29"/>
        <v>76.8</v>
      </c>
      <c r="L181" s="135"/>
      <c r="M181" s="344"/>
      <c r="N181" s="125"/>
      <c r="O181" s="223"/>
      <c r="P181" s="223"/>
    </row>
    <row r="182" spans="1:16" s="125" customFormat="1" ht="12.75" hidden="1" outlineLevel="1">
      <c r="A182" s="226"/>
      <c r="B182" s="226"/>
      <c r="C182" s="222" t="s">
        <v>137</v>
      </c>
      <c r="D182" s="226"/>
      <c r="E182" s="251"/>
      <c r="F182" s="275"/>
      <c r="G182" s="275"/>
      <c r="H182" s="282"/>
      <c r="I182" s="275"/>
      <c r="J182" s="275"/>
      <c r="K182" s="275"/>
      <c r="L182" s="224">
        <f>SUM(K173:K181)</f>
        <v>19476.48</v>
      </c>
      <c r="M182" s="341"/>
      <c r="N182" s="225"/>
      <c r="O182" s="128"/>
      <c r="P182" s="130"/>
    </row>
    <row r="183" spans="1:16" s="125" customFormat="1" ht="12.75" hidden="1" outlineLevel="1">
      <c r="A183" s="107" t="s">
        <v>168</v>
      </c>
      <c r="B183" s="107"/>
      <c r="C183" s="105" t="s">
        <v>72</v>
      </c>
      <c r="D183" s="134"/>
      <c r="E183" s="253"/>
      <c r="F183" s="271"/>
      <c r="G183" s="280"/>
      <c r="H183" s="273"/>
      <c r="I183" s="283"/>
      <c r="J183" s="283"/>
      <c r="K183" s="283"/>
      <c r="L183" s="135"/>
      <c r="M183" s="344"/>
      <c r="O183" s="128">
        <v>350</v>
      </c>
      <c r="P183" s="195"/>
    </row>
    <row r="184" spans="1:16" s="125" customFormat="1" ht="12.75" hidden="1" outlineLevel="1">
      <c r="A184" s="134" t="s">
        <v>169</v>
      </c>
      <c r="B184" s="134"/>
      <c r="C184" s="197" t="s">
        <v>113</v>
      </c>
      <c r="D184" s="134" t="s">
        <v>24</v>
      </c>
      <c r="E184" s="253">
        <v>3</v>
      </c>
      <c r="F184" s="271">
        <f>O183*$Q$8</f>
        <v>448</v>
      </c>
      <c r="G184" s="272">
        <f>P183*$Q$8</f>
        <v>0</v>
      </c>
      <c r="H184" s="273">
        <f aca="true" t="shared" si="32" ref="H184:H205">G184+F184</f>
        <v>448</v>
      </c>
      <c r="I184" s="271">
        <f aca="true" t="shared" si="33" ref="I184:I205">F184*E184</f>
        <v>1344</v>
      </c>
      <c r="J184" s="274">
        <f aca="true" t="shared" si="34" ref="J184:J205">G184*E184</f>
        <v>0</v>
      </c>
      <c r="K184" s="271">
        <f aca="true" t="shared" si="35" ref="K184:K205">I184+J184</f>
        <v>1344</v>
      </c>
      <c r="L184" s="135"/>
      <c r="M184" s="344"/>
      <c r="O184" s="128">
        <v>300</v>
      </c>
      <c r="P184" s="195"/>
    </row>
    <row r="185" spans="1:16" s="125" customFormat="1" ht="12.75" hidden="1" outlineLevel="1">
      <c r="A185" s="134" t="s">
        <v>170</v>
      </c>
      <c r="B185" s="134"/>
      <c r="C185" s="197" t="s">
        <v>114</v>
      </c>
      <c r="D185" s="134" t="s">
        <v>24</v>
      </c>
      <c r="E185" s="253">
        <v>1</v>
      </c>
      <c r="F185" s="271">
        <f aca="true" t="shared" si="36" ref="F185:F205">O184*$Q$8</f>
        <v>384</v>
      </c>
      <c r="G185" s="272">
        <f aca="true" t="shared" si="37" ref="G185:G205">P184*$Q$8</f>
        <v>0</v>
      </c>
      <c r="H185" s="273">
        <f>G185+F185</f>
        <v>384</v>
      </c>
      <c r="I185" s="271">
        <f t="shared" si="33"/>
        <v>384</v>
      </c>
      <c r="J185" s="274">
        <f>G185*E185</f>
        <v>0</v>
      </c>
      <c r="K185" s="271">
        <f t="shared" si="35"/>
        <v>384</v>
      </c>
      <c r="L185" s="135"/>
      <c r="M185" s="344"/>
      <c r="O185" s="128">
        <v>750</v>
      </c>
      <c r="P185" s="195"/>
    </row>
    <row r="186" spans="1:16" s="125" customFormat="1" ht="12.75" hidden="1" outlineLevel="1">
      <c r="A186" s="134" t="s">
        <v>171</v>
      </c>
      <c r="B186" s="134"/>
      <c r="C186" s="197" t="s">
        <v>115</v>
      </c>
      <c r="D186" s="134" t="s">
        <v>24</v>
      </c>
      <c r="E186" s="253">
        <v>1</v>
      </c>
      <c r="F186" s="271">
        <f t="shared" si="36"/>
        <v>960</v>
      </c>
      <c r="G186" s="272">
        <f t="shared" si="37"/>
        <v>0</v>
      </c>
      <c r="H186" s="273">
        <f t="shared" si="32"/>
        <v>960</v>
      </c>
      <c r="I186" s="271">
        <f t="shared" si="33"/>
        <v>960</v>
      </c>
      <c r="J186" s="274">
        <f t="shared" si="34"/>
        <v>0</v>
      </c>
      <c r="K186" s="271">
        <f t="shared" si="35"/>
        <v>960</v>
      </c>
      <c r="L186" s="135"/>
      <c r="M186" s="344"/>
      <c r="O186" s="128">
        <v>1860</v>
      </c>
      <c r="P186" s="195"/>
    </row>
    <row r="187" spans="1:16" s="125" customFormat="1" ht="12.75" hidden="1" outlineLevel="1">
      <c r="A187" s="134" t="s">
        <v>172</v>
      </c>
      <c r="B187" s="134"/>
      <c r="C187" s="197" t="s">
        <v>116</v>
      </c>
      <c r="D187" s="134" t="s">
        <v>24</v>
      </c>
      <c r="E187" s="253">
        <v>0</v>
      </c>
      <c r="F187" s="271">
        <f t="shared" si="36"/>
        <v>2380.8</v>
      </c>
      <c r="G187" s="272">
        <f t="shared" si="37"/>
        <v>0</v>
      </c>
      <c r="H187" s="273">
        <f t="shared" si="32"/>
        <v>2380.8</v>
      </c>
      <c r="I187" s="271">
        <f t="shared" si="33"/>
        <v>0</v>
      </c>
      <c r="J187" s="274">
        <f t="shared" si="34"/>
        <v>0</v>
      </c>
      <c r="K187" s="271">
        <f t="shared" si="35"/>
        <v>0</v>
      </c>
      <c r="L187" s="135"/>
      <c r="M187" s="344"/>
      <c r="O187" s="128">
        <v>120</v>
      </c>
      <c r="P187" s="195"/>
    </row>
    <row r="188" spans="1:16" s="125" customFormat="1" ht="12.75" hidden="1" outlineLevel="1">
      <c r="A188" s="134" t="s">
        <v>173</v>
      </c>
      <c r="B188" s="134"/>
      <c r="C188" s="197" t="s">
        <v>117</v>
      </c>
      <c r="D188" s="134" t="s">
        <v>24</v>
      </c>
      <c r="E188" s="253">
        <v>3</v>
      </c>
      <c r="F188" s="271">
        <f t="shared" si="36"/>
        <v>153.6</v>
      </c>
      <c r="G188" s="272">
        <f t="shared" si="37"/>
        <v>0</v>
      </c>
      <c r="H188" s="273">
        <f t="shared" si="32"/>
        <v>153.6</v>
      </c>
      <c r="I188" s="271">
        <f t="shared" si="33"/>
        <v>460.8</v>
      </c>
      <c r="J188" s="274">
        <f t="shared" si="34"/>
        <v>0</v>
      </c>
      <c r="K188" s="271">
        <f t="shared" si="35"/>
        <v>460.8</v>
      </c>
      <c r="L188" s="135"/>
      <c r="M188" s="344"/>
      <c r="O188" s="128">
        <v>150</v>
      </c>
      <c r="P188" s="195"/>
    </row>
    <row r="189" spans="1:16" s="125" customFormat="1" ht="12.75" hidden="1" outlineLevel="1">
      <c r="A189" s="134" t="s">
        <v>174</v>
      </c>
      <c r="B189" s="134"/>
      <c r="C189" s="197" t="s">
        <v>118</v>
      </c>
      <c r="D189" s="134" t="s">
        <v>24</v>
      </c>
      <c r="E189" s="253">
        <v>3</v>
      </c>
      <c r="F189" s="271">
        <f t="shared" si="36"/>
        <v>192</v>
      </c>
      <c r="G189" s="272">
        <f t="shared" si="37"/>
        <v>0</v>
      </c>
      <c r="H189" s="273">
        <f t="shared" si="32"/>
        <v>192</v>
      </c>
      <c r="I189" s="271">
        <f t="shared" si="33"/>
        <v>576</v>
      </c>
      <c r="J189" s="274">
        <f t="shared" si="34"/>
        <v>0</v>
      </c>
      <c r="K189" s="271">
        <f t="shared" si="35"/>
        <v>576</v>
      </c>
      <c r="L189" s="135"/>
      <c r="M189" s="344"/>
      <c r="O189" s="128">
        <v>350</v>
      </c>
      <c r="P189" s="195"/>
    </row>
    <row r="190" spans="1:16" s="125" customFormat="1" ht="12.75" hidden="1" outlineLevel="1">
      <c r="A190" s="134" t="s">
        <v>175</v>
      </c>
      <c r="B190" s="134"/>
      <c r="C190" s="197" t="s">
        <v>119</v>
      </c>
      <c r="D190" s="134" t="s">
        <v>24</v>
      </c>
      <c r="E190" s="253">
        <v>1</v>
      </c>
      <c r="F190" s="271">
        <f t="shared" si="36"/>
        <v>448</v>
      </c>
      <c r="G190" s="272">
        <f t="shared" si="37"/>
        <v>0</v>
      </c>
      <c r="H190" s="273">
        <f t="shared" si="32"/>
        <v>448</v>
      </c>
      <c r="I190" s="271">
        <f t="shared" si="33"/>
        <v>448</v>
      </c>
      <c r="J190" s="274">
        <f t="shared" si="34"/>
        <v>0</v>
      </c>
      <c r="K190" s="271">
        <f t="shared" si="35"/>
        <v>448</v>
      </c>
      <c r="L190" s="135"/>
      <c r="M190" s="344"/>
      <c r="O190" s="128">
        <v>90</v>
      </c>
      <c r="P190" s="195"/>
    </row>
    <row r="191" spans="1:16" s="125" customFormat="1" ht="12.75" hidden="1" outlineLevel="1">
      <c r="A191" s="134" t="s">
        <v>176</v>
      </c>
      <c r="B191" s="134"/>
      <c r="C191" s="197" t="s">
        <v>120</v>
      </c>
      <c r="D191" s="134" t="s">
        <v>24</v>
      </c>
      <c r="E191" s="253">
        <v>3</v>
      </c>
      <c r="F191" s="271">
        <f t="shared" si="36"/>
        <v>115.2</v>
      </c>
      <c r="G191" s="272">
        <f t="shared" si="37"/>
        <v>0</v>
      </c>
      <c r="H191" s="273">
        <f t="shared" si="32"/>
        <v>115.2</v>
      </c>
      <c r="I191" s="271">
        <f t="shared" si="33"/>
        <v>345.6</v>
      </c>
      <c r="J191" s="274">
        <f t="shared" si="34"/>
        <v>0</v>
      </c>
      <c r="K191" s="271">
        <f t="shared" si="35"/>
        <v>345.6</v>
      </c>
      <c r="L191" s="135"/>
      <c r="M191" s="344"/>
      <c r="O191" s="128">
        <v>100</v>
      </c>
      <c r="P191" s="195"/>
    </row>
    <row r="192" spans="1:16" s="125" customFormat="1" ht="12.75" hidden="1" outlineLevel="1">
      <c r="A192" s="134" t="s">
        <v>177</v>
      </c>
      <c r="B192" s="134"/>
      <c r="C192" s="197" t="s">
        <v>121</v>
      </c>
      <c r="D192" s="134" t="s">
        <v>24</v>
      </c>
      <c r="E192" s="253">
        <v>3</v>
      </c>
      <c r="F192" s="271">
        <f t="shared" si="36"/>
        <v>128</v>
      </c>
      <c r="G192" s="272">
        <f t="shared" si="37"/>
        <v>0</v>
      </c>
      <c r="H192" s="273">
        <f t="shared" si="32"/>
        <v>128</v>
      </c>
      <c r="I192" s="271">
        <f t="shared" si="33"/>
        <v>384</v>
      </c>
      <c r="J192" s="274">
        <f t="shared" si="34"/>
        <v>0</v>
      </c>
      <c r="K192" s="271">
        <f t="shared" si="35"/>
        <v>384</v>
      </c>
      <c r="L192" s="135"/>
      <c r="M192" s="344"/>
      <c r="O192" s="128">
        <v>100</v>
      </c>
      <c r="P192" s="195"/>
    </row>
    <row r="193" spans="1:16" s="125" customFormat="1" ht="12.75" hidden="1" outlineLevel="1">
      <c r="A193" s="134" t="s">
        <v>178</v>
      </c>
      <c r="B193" s="134"/>
      <c r="C193" s="197" t="s">
        <v>122</v>
      </c>
      <c r="D193" s="134" t="s">
        <v>24</v>
      </c>
      <c r="E193" s="253">
        <v>3</v>
      </c>
      <c r="F193" s="271">
        <f t="shared" si="36"/>
        <v>128</v>
      </c>
      <c r="G193" s="272">
        <f t="shared" si="37"/>
        <v>0</v>
      </c>
      <c r="H193" s="273">
        <f t="shared" si="32"/>
        <v>128</v>
      </c>
      <c r="I193" s="271">
        <f t="shared" si="33"/>
        <v>384</v>
      </c>
      <c r="J193" s="274">
        <f t="shared" si="34"/>
        <v>0</v>
      </c>
      <c r="K193" s="271">
        <f t="shared" si="35"/>
        <v>384</v>
      </c>
      <c r="L193" s="135"/>
      <c r="M193" s="344"/>
      <c r="O193" s="128">
        <v>250</v>
      </c>
      <c r="P193" s="195"/>
    </row>
    <row r="194" spans="1:16" s="125" customFormat="1" ht="12.75" hidden="1" outlineLevel="1">
      <c r="A194" s="134" t="s">
        <v>179</v>
      </c>
      <c r="B194" s="134"/>
      <c r="C194" s="197" t="s">
        <v>73</v>
      </c>
      <c r="D194" s="134" t="s">
        <v>24</v>
      </c>
      <c r="E194" s="253">
        <v>5</v>
      </c>
      <c r="F194" s="271">
        <f t="shared" si="36"/>
        <v>320</v>
      </c>
      <c r="G194" s="272">
        <f t="shared" si="37"/>
        <v>0</v>
      </c>
      <c r="H194" s="273">
        <f t="shared" si="32"/>
        <v>320</v>
      </c>
      <c r="I194" s="271">
        <f t="shared" si="33"/>
        <v>1600</v>
      </c>
      <c r="J194" s="274">
        <f t="shared" si="34"/>
        <v>0</v>
      </c>
      <c r="K194" s="271">
        <f t="shared" si="35"/>
        <v>1600</v>
      </c>
      <c r="L194" s="135"/>
      <c r="M194" s="344"/>
      <c r="O194" s="128">
        <v>1000</v>
      </c>
      <c r="P194" s="195"/>
    </row>
    <row r="195" spans="1:16" s="125" customFormat="1" ht="12.75" hidden="1" outlineLevel="1">
      <c r="A195" s="134" t="s">
        <v>180</v>
      </c>
      <c r="B195" s="134"/>
      <c r="C195" s="197" t="s">
        <v>123</v>
      </c>
      <c r="D195" s="134" t="s">
        <v>24</v>
      </c>
      <c r="E195" s="253">
        <v>3</v>
      </c>
      <c r="F195" s="271">
        <f t="shared" si="36"/>
        <v>1280</v>
      </c>
      <c r="G195" s="272">
        <f t="shared" si="37"/>
        <v>0</v>
      </c>
      <c r="H195" s="273">
        <f t="shared" si="32"/>
        <v>1280</v>
      </c>
      <c r="I195" s="271">
        <f t="shared" si="33"/>
        <v>3840</v>
      </c>
      <c r="J195" s="274">
        <f t="shared" si="34"/>
        <v>0</v>
      </c>
      <c r="K195" s="271">
        <f t="shared" si="35"/>
        <v>3840</v>
      </c>
      <c r="L195" s="135"/>
      <c r="M195" s="344"/>
      <c r="O195" s="128">
        <v>1500</v>
      </c>
      <c r="P195" s="195"/>
    </row>
    <row r="196" spans="1:16" s="125" customFormat="1" ht="12.75" hidden="1" outlineLevel="1">
      <c r="A196" s="134" t="s">
        <v>181</v>
      </c>
      <c r="B196" s="134"/>
      <c r="C196" s="197" t="s">
        <v>124</v>
      </c>
      <c r="D196" s="134" t="s">
        <v>24</v>
      </c>
      <c r="E196" s="253">
        <v>3</v>
      </c>
      <c r="F196" s="271">
        <f t="shared" si="36"/>
        <v>1920</v>
      </c>
      <c r="G196" s="272">
        <f t="shared" si="37"/>
        <v>0</v>
      </c>
      <c r="H196" s="273">
        <f t="shared" si="32"/>
        <v>1920</v>
      </c>
      <c r="I196" s="271">
        <f t="shared" si="33"/>
        <v>5760</v>
      </c>
      <c r="J196" s="274">
        <f t="shared" si="34"/>
        <v>0</v>
      </c>
      <c r="K196" s="271">
        <f t="shared" si="35"/>
        <v>5760</v>
      </c>
      <c r="L196" s="135"/>
      <c r="M196" s="344"/>
      <c r="O196" s="128">
        <v>450</v>
      </c>
      <c r="P196" s="195"/>
    </row>
    <row r="197" spans="1:16" s="125" customFormat="1" ht="12.75" hidden="1" outlineLevel="1">
      <c r="A197" s="134" t="s">
        <v>182</v>
      </c>
      <c r="B197" s="134"/>
      <c r="C197" s="197" t="s">
        <v>74</v>
      </c>
      <c r="D197" s="134" t="s">
        <v>24</v>
      </c>
      <c r="E197" s="253">
        <v>3</v>
      </c>
      <c r="F197" s="271">
        <f t="shared" si="36"/>
        <v>576</v>
      </c>
      <c r="G197" s="272">
        <f t="shared" si="37"/>
        <v>0</v>
      </c>
      <c r="H197" s="273">
        <f t="shared" si="32"/>
        <v>576</v>
      </c>
      <c r="I197" s="271">
        <f t="shared" si="33"/>
        <v>1728</v>
      </c>
      <c r="J197" s="274">
        <f t="shared" si="34"/>
        <v>0</v>
      </c>
      <c r="K197" s="271">
        <f t="shared" si="35"/>
        <v>1728</v>
      </c>
      <c r="L197" s="135"/>
      <c r="M197" s="344"/>
      <c r="O197" s="128">
        <v>250</v>
      </c>
      <c r="P197" s="195"/>
    </row>
    <row r="198" spans="1:16" s="125" customFormat="1" ht="12.75" hidden="1" outlineLevel="1">
      <c r="A198" s="134" t="s">
        <v>183</v>
      </c>
      <c r="B198" s="134"/>
      <c r="C198" s="197" t="s">
        <v>75</v>
      </c>
      <c r="D198" s="134" t="s">
        <v>24</v>
      </c>
      <c r="E198" s="253">
        <v>3</v>
      </c>
      <c r="F198" s="271">
        <f t="shared" si="36"/>
        <v>320</v>
      </c>
      <c r="G198" s="272">
        <f t="shared" si="37"/>
        <v>0</v>
      </c>
      <c r="H198" s="273">
        <f t="shared" si="32"/>
        <v>320</v>
      </c>
      <c r="I198" s="271">
        <f t="shared" si="33"/>
        <v>960</v>
      </c>
      <c r="J198" s="274">
        <f t="shared" si="34"/>
        <v>0</v>
      </c>
      <c r="K198" s="271">
        <f t="shared" si="35"/>
        <v>960</v>
      </c>
      <c r="L198" s="135"/>
      <c r="M198" s="344"/>
      <c r="O198" s="128">
        <v>200</v>
      </c>
      <c r="P198" s="195"/>
    </row>
    <row r="199" spans="1:16" s="125" customFormat="1" ht="12.75" hidden="1" outlineLevel="1">
      <c r="A199" s="134" t="s">
        <v>184</v>
      </c>
      <c r="B199" s="134"/>
      <c r="C199" s="197" t="s">
        <v>76</v>
      </c>
      <c r="D199" s="134" t="s">
        <v>24</v>
      </c>
      <c r="E199" s="253">
        <v>3</v>
      </c>
      <c r="F199" s="271">
        <f t="shared" si="36"/>
        <v>256</v>
      </c>
      <c r="G199" s="272">
        <f t="shared" si="37"/>
        <v>0</v>
      </c>
      <c r="H199" s="273">
        <f t="shared" si="32"/>
        <v>256</v>
      </c>
      <c r="I199" s="271">
        <f t="shared" si="33"/>
        <v>768</v>
      </c>
      <c r="J199" s="274">
        <f t="shared" si="34"/>
        <v>0</v>
      </c>
      <c r="K199" s="271">
        <f t="shared" si="35"/>
        <v>768</v>
      </c>
      <c r="L199" s="135"/>
      <c r="M199" s="344"/>
      <c r="O199" s="128">
        <v>460</v>
      </c>
      <c r="P199" s="195"/>
    </row>
    <row r="200" spans="1:16" s="125" customFormat="1" ht="12.75" hidden="1" outlineLevel="1">
      <c r="A200" s="134" t="s">
        <v>185</v>
      </c>
      <c r="B200" s="134"/>
      <c r="C200" s="197" t="s">
        <v>27</v>
      </c>
      <c r="D200" s="134" t="s">
        <v>24</v>
      </c>
      <c r="E200" s="253">
        <v>3</v>
      </c>
      <c r="F200" s="271">
        <f t="shared" si="36"/>
        <v>588.8</v>
      </c>
      <c r="G200" s="272">
        <f t="shared" si="37"/>
        <v>0</v>
      </c>
      <c r="H200" s="273">
        <f t="shared" si="32"/>
        <v>588.8</v>
      </c>
      <c r="I200" s="271">
        <f t="shared" si="33"/>
        <v>1766.4</v>
      </c>
      <c r="J200" s="274">
        <f t="shared" si="34"/>
        <v>0</v>
      </c>
      <c r="K200" s="271">
        <f t="shared" si="35"/>
        <v>1766.4</v>
      </c>
      <c r="L200" s="135"/>
      <c r="M200" s="344"/>
      <c r="O200" s="128">
        <v>150</v>
      </c>
      <c r="P200" s="195"/>
    </row>
    <row r="201" spans="1:16" s="125" customFormat="1" ht="12.75" hidden="1" outlineLevel="1">
      <c r="A201" s="134" t="s">
        <v>186</v>
      </c>
      <c r="B201" s="134"/>
      <c r="C201" s="197" t="s">
        <v>77</v>
      </c>
      <c r="D201" s="134" t="s">
        <v>24</v>
      </c>
      <c r="E201" s="253">
        <v>3</v>
      </c>
      <c r="F201" s="271">
        <f t="shared" si="36"/>
        <v>192</v>
      </c>
      <c r="G201" s="272">
        <f t="shared" si="37"/>
        <v>0</v>
      </c>
      <c r="H201" s="273">
        <f t="shared" si="32"/>
        <v>192</v>
      </c>
      <c r="I201" s="271">
        <f t="shared" si="33"/>
        <v>576</v>
      </c>
      <c r="J201" s="274">
        <f t="shared" si="34"/>
        <v>0</v>
      </c>
      <c r="K201" s="271">
        <f t="shared" si="35"/>
        <v>576</v>
      </c>
      <c r="L201" s="135"/>
      <c r="M201" s="344"/>
      <c r="O201" s="128">
        <v>500</v>
      </c>
      <c r="P201" s="195"/>
    </row>
    <row r="202" spans="1:16" s="125" customFormat="1" ht="12.75" hidden="1" outlineLevel="1">
      <c r="A202" s="134" t="s">
        <v>187</v>
      </c>
      <c r="B202" s="134"/>
      <c r="C202" s="197" t="s">
        <v>78</v>
      </c>
      <c r="D202" s="134" t="s">
        <v>24</v>
      </c>
      <c r="E202" s="253">
        <v>0</v>
      </c>
      <c r="F202" s="271">
        <f t="shared" si="36"/>
        <v>640</v>
      </c>
      <c r="G202" s="272">
        <f t="shared" si="37"/>
        <v>0</v>
      </c>
      <c r="H202" s="273">
        <f t="shared" si="32"/>
        <v>640</v>
      </c>
      <c r="I202" s="271">
        <f t="shared" si="33"/>
        <v>0</v>
      </c>
      <c r="J202" s="274">
        <f t="shared" si="34"/>
        <v>0</v>
      </c>
      <c r="K202" s="271">
        <f t="shared" si="35"/>
        <v>0</v>
      </c>
      <c r="L202" s="135"/>
      <c r="M202" s="344"/>
      <c r="O202" s="128">
        <v>400</v>
      </c>
      <c r="P202" s="195"/>
    </row>
    <row r="203" spans="1:16" s="125" customFormat="1" ht="12.75" hidden="1" outlineLevel="1">
      <c r="A203" s="134" t="s">
        <v>188</v>
      </c>
      <c r="B203" s="134"/>
      <c r="C203" s="197" t="s">
        <v>79</v>
      </c>
      <c r="D203" s="134" t="s">
        <v>24</v>
      </c>
      <c r="E203" s="253">
        <v>0</v>
      </c>
      <c r="F203" s="271">
        <f t="shared" si="36"/>
        <v>512</v>
      </c>
      <c r="G203" s="272">
        <f t="shared" si="37"/>
        <v>0</v>
      </c>
      <c r="H203" s="273">
        <f t="shared" si="32"/>
        <v>512</v>
      </c>
      <c r="I203" s="271">
        <f t="shared" si="33"/>
        <v>0</v>
      </c>
      <c r="J203" s="274">
        <f t="shared" si="34"/>
        <v>0</v>
      </c>
      <c r="K203" s="271">
        <f t="shared" si="35"/>
        <v>0</v>
      </c>
      <c r="L203" s="135"/>
      <c r="M203" s="344"/>
      <c r="O203" s="128">
        <v>250</v>
      </c>
      <c r="P203" s="195"/>
    </row>
    <row r="204" spans="1:16" s="125" customFormat="1" ht="12.75" hidden="1" outlineLevel="1">
      <c r="A204" s="134" t="s">
        <v>189</v>
      </c>
      <c r="B204" s="134"/>
      <c r="C204" s="197" t="s">
        <v>80</v>
      </c>
      <c r="D204" s="134" t="s">
        <v>24</v>
      </c>
      <c r="E204" s="253">
        <v>3</v>
      </c>
      <c r="F204" s="271">
        <f t="shared" si="36"/>
        <v>320</v>
      </c>
      <c r="G204" s="272">
        <f t="shared" si="37"/>
        <v>0</v>
      </c>
      <c r="H204" s="273">
        <f t="shared" si="32"/>
        <v>320</v>
      </c>
      <c r="I204" s="271">
        <f t="shared" si="33"/>
        <v>960</v>
      </c>
      <c r="J204" s="274">
        <f t="shared" si="34"/>
        <v>0</v>
      </c>
      <c r="K204" s="271">
        <f t="shared" si="35"/>
        <v>960</v>
      </c>
      <c r="L204" s="135"/>
      <c r="M204" s="344"/>
      <c r="O204" s="128">
        <v>300</v>
      </c>
      <c r="P204" s="195"/>
    </row>
    <row r="205" spans="1:16" s="225" customFormat="1" ht="12.75" hidden="1" outlineLevel="1">
      <c r="A205" s="134" t="s">
        <v>190</v>
      </c>
      <c r="B205" s="134"/>
      <c r="C205" s="197" t="s">
        <v>25</v>
      </c>
      <c r="D205" s="134" t="s">
        <v>26</v>
      </c>
      <c r="E205" s="253">
        <v>1</v>
      </c>
      <c r="F205" s="271">
        <f t="shared" si="36"/>
        <v>384</v>
      </c>
      <c r="G205" s="272">
        <f t="shared" si="37"/>
        <v>0</v>
      </c>
      <c r="H205" s="273">
        <f t="shared" si="32"/>
        <v>384</v>
      </c>
      <c r="I205" s="271">
        <f t="shared" si="33"/>
        <v>384</v>
      </c>
      <c r="J205" s="274">
        <f t="shared" si="34"/>
        <v>0</v>
      </c>
      <c r="K205" s="271">
        <f t="shared" si="35"/>
        <v>384</v>
      </c>
      <c r="L205" s="135"/>
      <c r="M205" s="344"/>
      <c r="N205" s="125"/>
      <c r="O205" s="223"/>
      <c r="P205" s="223"/>
    </row>
    <row r="206" spans="1:16" s="125" customFormat="1" ht="12.75" hidden="1" outlineLevel="1">
      <c r="A206" s="226"/>
      <c r="B206" s="226"/>
      <c r="C206" s="222" t="s">
        <v>137</v>
      </c>
      <c r="D206" s="226"/>
      <c r="E206" s="251"/>
      <c r="F206" s="275"/>
      <c r="G206" s="275"/>
      <c r="H206" s="282"/>
      <c r="I206" s="275"/>
      <c r="J206" s="275"/>
      <c r="K206" s="275"/>
      <c r="L206" s="224">
        <f>SUM(K184:K205)</f>
        <v>23628.8</v>
      </c>
      <c r="M206" s="341"/>
      <c r="N206" s="225"/>
      <c r="O206" s="128"/>
      <c r="P206" s="130"/>
    </row>
    <row r="207" spans="1:16" s="125" customFormat="1" ht="12.75" hidden="1" outlineLevel="1">
      <c r="A207" s="107" t="s">
        <v>191</v>
      </c>
      <c r="B207" s="107"/>
      <c r="C207" s="105" t="s">
        <v>28</v>
      </c>
      <c r="D207" s="134"/>
      <c r="E207" s="253"/>
      <c r="F207" s="271"/>
      <c r="G207" s="280"/>
      <c r="H207" s="273"/>
      <c r="I207" s="283"/>
      <c r="J207" s="283"/>
      <c r="K207" s="283"/>
      <c r="L207" s="135"/>
      <c r="M207" s="344"/>
      <c r="O207" s="128">
        <f>(6*22)*13</f>
        <v>1716</v>
      </c>
      <c r="P207" s="195"/>
    </row>
    <row r="208" spans="1:16" s="225" customFormat="1" ht="12.75" hidden="1" outlineLevel="1">
      <c r="A208" s="134" t="s">
        <v>192</v>
      </c>
      <c r="B208" s="134"/>
      <c r="C208" s="197" t="s">
        <v>15</v>
      </c>
      <c r="D208" s="134" t="s">
        <v>24</v>
      </c>
      <c r="E208" s="253">
        <v>3</v>
      </c>
      <c r="F208" s="271">
        <f>O207*$Q$8</f>
        <v>2196.48</v>
      </c>
      <c r="G208" s="272">
        <f>P207*$Q$8</f>
        <v>0</v>
      </c>
      <c r="H208" s="273">
        <f>G208+F208</f>
        <v>2196.48</v>
      </c>
      <c r="I208" s="271">
        <f>F208*E208</f>
        <v>6589.44</v>
      </c>
      <c r="J208" s="274">
        <f>G208*E208</f>
        <v>0</v>
      </c>
      <c r="K208" s="271">
        <f>I208+J208</f>
        <v>6589.44</v>
      </c>
      <c r="L208" s="135"/>
      <c r="M208" s="344"/>
      <c r="N208" s="125"/>
      <c r="O208" s="223"/>
      <c r="P208" s="223"/>
    </row>
    <row r="209" spans="1:16" s="125" customFormat="1" ht="12.75" hidden="1" outlineLevel="1">
      <c r="A209" s="226"/>
      <c r="B209" s="226"/>
      <c r="C209" s="222" t="s">
        <v>137</v>
      </c>
      <c r="D209" s="226"/>
      <c r="E209" s="251"/>
      <c r="F209" s="275"/>
      <c r="G209" s="275"/>
      <c r="H209" s="282"/>
      <c r="I209" s="275"/>
      <c r="J209" s="275"/>
      <c r="K209" s="275"/>
      <c r="L209" s="224">
        <f>SUM(K208)</f>
        <v>6589.44</v>
      </c>
      <c r="M209" s="341"/>
      <c r="N209" s="225"/>
      <c r="O209" s="128"/>
      <c r="P209" s="130"/>
    </row>
    <row r="210" spans="1:16" s="125" customFormat="1" ht="12.75" hidden="1" outlineLevel="1">
      <c r="A210" s="107" t="s">
        <v>193</v>
      </c>
      <c r="B210" s="107"/>
      <c r="C210" s="105" t="s">
        <v>81</v>
      </c>
      <c r="D210" s="134"/>
      <c r="E210" s="253"/>
      <c r="F210" s="271"/>
      <c r="G210" s="280"/>
      <c r="H210" s="273"/>
      <c r="I210" s="283"/>
      <c r="J210" s="283"/>
      <c r="K210" s="283"/>
      <c r="L210" s="135"/>
      <c r="M210" s="344"/>
      <c r="O210" s="128">
        <v>750</v>
      </c>
      <c r="P210" s="195"/>
    </row>
    <row r="211" spans="1:16" s="125" customFormat="1" ht="12.75" hidden="1" outlineLevel="1">
      <c r="A211" s="134" t="s">
        <v>194</v>
      </c>
      <c r="B211" s="134"/>
      <c r="C211" s="197" t="s">
        <v>82</v>
      </c>
      <c r="D211" s="134" t="s">
        <v>22</v>
      </c>
      <c r="E211" s="253">
        <v>2</v>
      </c>
      <c r="F211" s="271">
        <f>O210*$Q$8</f>
        <v>960</v>
      </c>
      <c r="G211" s="272">
        <f>P210*$Q$8</f>
        <v>0</v>
      </c>
      <c r="H211" s="273">
        <f aca="true" t="shared" si="38" ref="H211:H218">G211+F211</f>
        <v>960</v>
      </c>
      <c r="I211" s="271">
        <f aca="true" t="shared" si="39" ref="I211:I218">F211*E211</f>
        <v>1920</v>
      </c>
      <c r="J211" s="274">
        <f aca="true" t="shared" si="40" ref="J211:J218">G211*E211</f>
        <v>0</v>
      </c>
      <c r="K211" s="271">
        <f aca="true" t="shared" si="41" ref="K211:K218">I211+J211</f>
        <v>1920</v>
      </c>
      <c r="L211" s="135"/>
      <c r="M211" s="344"/>
      <c r="O211" s="128">
        <v>1200</v>
      </c>
      <c r="P211" s="195"/>
    </row>
    <row r="212" spans="1:16" s="125" customFormat="1" ht="12.75" hidden="1" outlineLevel="1">
      <c r="A212" s="134" t="s">
        <v>195</v>
      </c>
      <c r="B212" s="134"/>
      <c r="C212" s="197" t="s">
        <v>83</v>
      </c>
      <c r="D212" s="134" t="s">
        <v>22</v>
      </c>
      <c r="E212" s="253">
        <v>0</v>
      </c>
      <c r="F212" s="271">
        <f aca="true" t="shared" si="42" ref="F212:F218">O211*$Q$8</f>
        <v>1536</v>
      </c>
      <c r="G212" s="272">
        <f aca="true" t="shared" si="43" ref="G212:G218">P211*$Q$8</f>
        <v>0</v>
      </c>
      <c r="H212" s="273">
        <f t="shared" si="38"/>
        <v>1536</v>
      </c>
      <c r="I212" s="271">
        <f t="shared" si="39"/>
        <v>0</v>
      </c>
      <c r="J212" s="274">
        <f t="shared" si="40"/>
        <v>0</v>
      </c>
      <c r="K212" s="271">
        <f t="shared" si="41"/>
        <v>0</v>
      </c>
      <c r="L212" s="135"/>
      <c r="M212" s="344"/>
      <c r="O212" s="128">
        <f>20500/8</f>
        <v>2562.5</v>
      </c>
      <c r="P212" s="195"/>
    </row>
    <row r="213" spans="1:16" s="125" customFormat="1" ht="12.75" hidden="1" outlineLevel="1">
      <c r="A213" s="134" t="s">
        <v>196</v>
      </c>
      <c r="B213" s="134"/>
      <c r="C213" s="197" t="s">
        <v>84</v>
      </c>
      <c r="D213" s="134" t="s">
        <v>22</v>
      </c>
      <c r="E213" s="253">
        <v>0</v>
      </c>
      <c r="F213" s="271">
        <f t="shared" si="42"/>
        <v>3280</v>
      </c>
      <c r="G213" s="272">
        <f t="shared" si="43"/>
        <v>0</v>
      </c>
      <c r="H213" s="273">
        <f t="shared" si="38"/>
        <v>3280</v>
      </c>
      <c r="I213" s="271">
        <f t="shared" si="39"/>
        <v>0</v>
      </c>
      <c r="J213" s="274">
        <f t="shared" si="40"/>
        <v>0</v>
      </c>
      <c r="K213" s="271">
        <f t="shared" si="41"/>
        <v>0</v>
      </c>
      <c r="L213" s="135"/>
      <c r="M213" s="344"/>
      <c r="O213" s="128">
        <v>300</v>
      </c>
      <c r="P213" s="195"/>
    </row>
    <row r="214" spans="1:16" s="125" customFormat="1" ht="12.75" hidden="1" outlineLevel="1">
      <c r="A214" s="134" t="s">
        <v>197</v>
      </c>
      <c r="B214" s="134"/>
      <c r="C214" s="197" t="s">
        <v>85</v>
      </c>
      <c r="D214" s="134" t="s">
        <v>24</v>
      </c>
      <c r="E214" s="253">
        <v>0</v>
      </c>
      <c r="F214" s="271">
        <f t="shared" si="42"/>
        <v>384</v>
      </c>
      <c r="G214" s="272">
        <f t="shared" si="43"/>
        <v>0</v>
      </c>
      <c r="H214" s="273">
        <f t="shared" si="38"/>
        <v>384</v>
      </c>
      <c r="I214" s="271">
        <f t="shared" si="39"/>
        <v>0</v>
      </c>
      <c r="J214" s="274">
        <f>G214*E214</f>
        <v>0</v>
      </c>
      <c r="K214" s="271">
        <f t="shared" si="41"/>
        <v>0</v>
      </c>
      <c r="L214" s="135"/>
      <c r="M214" s="344"/>
      <c r="O214" s="128">
        <v>5000</v>
      </c>
      <c r="P214" s="195"/>
    </row>
    <row r="215" spans="1:16" s="125" customFormat="1" ht="12.75" hidden="1" outlineLevel="1">
      <c r="A215" s="134" t="s">
        <v>198</v>
      </c>
      <c r="B215" s="134"/>
      <c r="C215" s="197" t="s">
        <v>86</v>
      </c>
      <c r="D215" s="134" t="s">
        <v>22</v>
      </c>
      <c r="E215" s="253">
        <v>0</v>
      </c>
      <c r="F215" s="271">
        <f t="shared" si="42"/>
        <v>6400</v>
      </c>
      <c r="G215" s="272">
        <f t="shared" si="43"/>
        <v>0</v>
      </c>
      <c r="H215" s="273">
        <f t="shared" si="38"/>
        <v>6400</v>
      </c>
      <c r="I215" s="271">
        <f t="shared" si="39"/>
        <v>0</v>
      </c>
      <c r="J215" s="274">
        <f t="shared" si="40"/>
        <v>0</v>
      </c>
      <c r="K215" s="271">
        <f t="shared" si="41"/>
        <v>0</v>
      </c>
      <c r="L215" s="135"/>
      <c r="M215" s="344"/>
      <c r="O215" s="128">
        <f>44000/15</f>
        <v>2933.33</v>
      </c>
      <c r="P215" s="195"/>
    </row>
    <row r="216" spans="1:16" s="125" customFormat="1" ht="12.75" hidden="1" outlineLevel="1">
      <c r="A216" s="134" t="s">
        <v>199</v>
      </c>
      <c r="B216" s="134"/>
      <c r="C216" s="197" t="s">
        <v>87</v>
      </c>
      <c r="D216" s="134" t="s">
        <v>22</v>
      </c>
      <c r="E216" s="253">
        <v>0</v>
      </c>
      <c r="F216" s="271">
        <f t="shared" si="42"/>
        <v>3754.66</v>
      </c>
      <c r="G216" s="272">
        <f t="shared" si="43"/>
        <v>0</v>
      </c>
      <c r="H216" s="273">
        <f t="shared" si="38"/>
        <v>3754.66</v>
      </c>
      <c r="I216" s="271">
        <f t="shared" si="39"/>
        <v>0</v>
      </c>
      <c r="J216" s="274">
        <f t="shared" si="40"/>
        <v>0</v>
      </c>
      <c r="K216" s="271">
        <f t="shared" si="41"/>
        <v>0</v>
      </c>
      <c r="L216" s="135"/>
      <c r="M216" s="344"/>
      <c r="O216" s="128">
        <v>5500</v>
      </c>
      <c r="P216" s="195"/>
    </row>
    <row r="217" spans="1:16" s="125" customFormat="1" ht="12.75" hidden="1" outlineLevel="1">
      <c r="A217" s="134" t="s">
        <v>200</v>
      </c>
      <c r="B217" s="134"/>
      <c r="C217" s="197" t="s">
        <v>88</v>
      </c>
      <c r="D217" s="134" t="s">
        <v>22</v>
      </c>
      <c r="E217" s="253">
        <v>0</v>
      </c>
      <c r="F217" s="271">
        <f t="shared" si="42"/>
        <v>7040</v>
      </c>
      <c r="G217" s="272">
        <f t="shared" si="43"/>
        <v>0</v>
      </c>
      <c r="H217" s="273">
        <f t="shared" si="38"/>
        <v>7040</v>
      </c>
      <c r="I217" s="271">
        <f t="shared" si="39"/>
        <v>0</v>
      </c>
      <c r="J217" s="274">
        <f t="shared" si="40"/>
        <v>0</v>
      </c>
      <c r="K217" s="271">
        <f t="shared" si="41"/>
        <v>0</v>
      </c>
      <c r="L217" s="135"/>
      <c r="M217" s="344"/>
      <c r="O217" s="128">
        <v>120</v>
      </c>
      <c r="P217" s="195"/>
    </row>
    <row r="218" spans="1:16" s="225" customFormat="1" ht="12.75" hidden="1" outlineLevel="1">
      <c r="A218" s="134" t="s">
        <v>201</v>
      </c>
      <c r="B218" s="134"/>
      <c r="C218" s="197" t="s">
        <v>89</v>
      </c>
      <c r="D218" s="134" t="s">
        <v>24</v>
      </c>
      <c r="E218" s="253">
        <v>0</v>
      </c>
      <c r="F218" s="271">
        <f t="shared" si="42"/>
        <v>153.6</v>
      </c>
      <c r="G218" s="272">
        <f t="shared" si="43"/>
        <v>0</v>
      </c>
      <c r="H218" s="273">
        <f t="shared" si="38"/>
        <v>153.6</v>
      </c>
      <c r="I218" s="271">
        <f t="shared" si="39"/>
        <v>0</v>
      </c>
      <c r="J218" s="274">
        <f t="shared" si="40"/>
        <v>0</v>
      </c>
      <c r="K218" s="271">
        <f t="shared" si="41"/>
        <v>0</v>
      </c>
      <c r="L218" s="135"/>
      <c r="M218" s="344"/>
      <c r="N218" s="125"/>
      <c r="O218" s="236"/>
      <c r="P218" s="236"/>
    </row>
    <row r="219" spans="1:16" s="125" customFormat="1" ht="12.75" hidden="1" outlineLevel="1">
      <c r="A219" s="226"/>
      <c r="B219" s="226"/>
      <c r="C219" s="222" t="s">
        <v>137</v>
      </c>
      <c r="D219" s="226"/>
      <c r="E219" s="251"/>
      <c r="F219" s="295"/>
      <c r="G219" s="295"/>
      <c r="H219" s="275"/>
      <c r="I219" s="275"/>
      <c r="J219" s="275"/>
      <c r="K219" s="275"/>
      <c r="L219" s="224">
        <f>SUM(K211:K218)</f>
        <v>1920</v>
      </c>
      <c r="M219" s="341"/>
      <c r="N219" s="225"/>
      <c r="O219" s="175"/>
      <c r="P219" s="175"/>
    </row>
    <row r="220" spans="1:16" s="125" customFormat="1" ht="12.75" hidden="1" outlineLevel="1">
      <c r="A220" s="173"/>
      <c r="B220" s="173"/>
      <c r="C220" s="174" t="s">
        <v>146</v>
      </c>
      <c r="D220" s="173"/>
      <c r="E220" s="250"/>
      <c r="F220" s="272"/>
      <c r="G220" s="272"/>
      <c r="H220" s="278"/>
      <c r="I220" s="279">
        <f>SUM(I160:I219)</f>
        <v>51614.72</v>
      </c>
      <c r="J220" s="279">
        <f>SUM(J160:J219)</f>
        <v>105892.29</v>
      </c>
      <c r="K220" s="272"/>
      <c r="L220" s="176"/>
      <c r="M220" s="331"/>
      <c r="O220" s="140"/>
      <c r="P220" s="141"/>
    </row>
    <row r="221" spans="1:16" s="125" customFormat="1" ht="12.75" hidden="1" outlineLevel="1">
      <c r="A221" s="134"/>
      <c r="B221" s="134"/>
      <c r="C221" s="106"/>
      <c r="D221" s="134"/>
      <c r="E221" s="253"/>
      <c r="F221" s="271"/>
      <c r="G221" s="283"/>
      <c r="H221" s="283"/>
      <c r="I221" s="283"/>
      <c r="J221" s="283"/>
      <c r="K221" s="283"/>
      <c r="L221" s="131"/>
      <c r="M221" s="332"/>
      <c r="O221" s="143"/>
      <c r="P221" s="143"/>
    </row>
    <row r="222" spans="1:15" s="125" customFormat="1" ht="12.75" collapsed="1">
      <c r="A222" s="142" t="s">
        <v>20</v>
      </c>
      <c r="B222" s="142"/>
      <c r="C222" s="143" t="s">
        <v>90</v>
      </c>
      <c r="D222" s="142"/>
      <c r="E222" s="258"/>
      <c r="F222" s="244"/>
      <c r="G222" s="244"/>
      <c r="H222" s="294"/>
      <c r="I222" s="244">
        <f>I157+I152+I121+I85+I27+I14</f>
        <v>315430.19</v>
      </c>
      <c r="J222" s="244">
        <f>J157+J152+J121+J85+J27+J14</f>
        <v>251105.52</v>
      </c>
      <c r="K222" s="296"/>
      <c r="L222" s="244">
        <f>L220+L157+L152+L121+L85+L27+L14</f>
        <v>566535.71</v>
      </c>
      <c r="M222" s="352">
        <f>SUM(M14:M157)</f>
        <v>566535.71</v>
      </c>
      <c r="N222" s="238"/>
      <c r="O222" s="238">
        <f>L157+L152+L121+L85+L27+L14</f>
        <v>566535.71</v>
      </c>
    </row>
    <row r="223" spans="1:16" s="125" customFormat="1" ht="12.75">
      <c r="A223" s="142" t="s">
        <v>20</v>
      </c>
      <c r="B223" s="142"/>
      <c r="C223" s="131"/>
      <c r="D223" s="306"/>
      <c r="E223" s="259"/>
      <c r="F223" s="244"/>
      <c r="G223" s="244"/>
      <c r="H223" s="294"/>
      <c r="I223" s="244"/>
      <c r="J223" s="244"/>
      <c r="K223" s="244"/>
      <c r="L223" s="131">
        <f>D223*L222</f>
        <v>0</v>
      </c>
      <c r="M223" s="332"/>
      <c r="O223" s="125">
        <f>L220/3</f>
        <v>0</v>
      </c>
      <c r="P223" s="238"/>
    </row>
    <row r="224" spans="1:14" s="147" customFormat="1" ht="12.75">
      <c r="A224" s="142" t="s">
        <v>20</v>
      </c>
      <c r="B224" s="142"/>
      <c r="C224" s="131"/>
      <c r="D224" s="142"/>
      <c r="E224" s="259"/>
      <c r="F224" s="244"/>
      <c r="G224" s="244"/>
      <c r="H224" s="294"/>
      <c r="I224" s="244"/>
      <c r="J224" s="244"/>
      <c r="K224" s="244"/>
      <c r="L224" s="314">
        <f>SUM(L222:L223)</f>
        <v>566535.71</v>
      </c>
      <c r="M224" s="353"/>
      <c r="N224" s="125"/>
    </row>
    <row r="225" spans="1:14" s="125" customFormat="1" ht="15">
      <c r="A225" s="145"/>
      <c r="B225" s="145"/>
      <c r="D225" s="145"/>
      <c r="E225" s="260"/>
      <c r="F225" s="297"/>
      <c r="G225" s="297"/>
      <c r="H225" s="298"/>
      <c r="I225" s="297"/>
      <c r="J225" s="297"/>
      <c r="K225" s="317">
        <f>'BDI '!E24/100</f>
        <v>0.2277</v>
      </c>
      <c r="L225" s="314">
        <f>L224*K225</f>
        <v>129000.18</v>
      </c>
      <c r="M225" s="353">
        <f>K225*M222</f>
        <v>129000.18</v>
      </c>
      <c r="N225" s="147"/>
    </row>
    <row r="226" spans="1:14" s="147" customFormat="1" ht="20.25">
      <c r="A226" s="319"/>
      <c r="B226" s="320"/>
      <c r="C226" s="320"/>
      <c r="D226" s="320"/>
      <c r="E226" s="320"/>
      <c r="F226" s="320"/>
      <c r="G226" s="320"/>
      <c r="H226" s="320"/>
      <c r="I226" s="320"/>
      <c r="J226" s="320"/>
      <c r="K226" s="321"/>
      <c r="L226" s="318">
        <f>L225+L224</f>
        <v>695535.89</v>
      </c>
      <c r="M226" s="354"/>
      <c r="N226" s="125"/>
    </row>
    <row r="227" spans="1:13" s="147" customFormat="1" ht="12.75">
      <c r="A227" s="319"/>
      <c r="B227" s="320"/>
      <c r="C227" s="320"/>
      <c r="D227" s="320"/>
      <c r="E227" s="320"/>
      <c r="F227" s="320"/>
      <c r="G227" s="320"/>
      <c r="H227" s="320"/>
      <c r="I227" s="320"/>
      <c r="J227" s="320"/>
      <c r="K227" s="321"/>
      <c r="L227" s="131"/>
      <c r="M227" s="332"/>
    </row>
    <row r="228" spans="1:14" s="147" customFormat="1" ht="12.75">
      <c r="A228" s="145"/>
      <c r="B228" s="145"/>
      <c r="C228" s="125"/>
      <c r="D228" s="145"/>
      <c r="E228" s="260"/>
      <c r="F228" s="297"/>
      <c r="G228" s="297"/>
      <c r="H228" s="298"/>
      <c r="I228" s="297"/>
      <c r="J228" s="297"/>
      <c r="K228" s="310">
        <f>922+55</f>
        <v>977</v>
      </c>
      <c r="L228" s="355" t="s">
        <v>20</v>
      </c>
      <c r="M228" s="311"/>
      <c r="N228" s="316"/>
    </row>
    <row r="229" spans="1:14" s="148" customFormat="1" ht="12.75">
      <c r="A229" s="145"/>
      <c r="B229" s="145"/>
      <c r="C229" s="146"/>
      <c r="D229" s="145"/>
      <c r="E229" s="260"/>
      <c r="F229" s="297"/>
      <c r="G229" s="297"/>
      <c r="H229" s="298"/>
      <c r="I229" s="297"/>
      <c r="J229" s="297"/>
      <c r="K229" s="311"/>
      <c r="M229" s="311"/>
      <c r="N229" s="147"/>
    </row>
    <row r="230" spans="1:12" s="148" customFormat="1" ht="12.75">
      <c r="A230" s="149"/>
      <c r="B230" s="149"/>
      <c r="D230" s="150"/>
      <c r="E230" s="261"/>
      <c r="F230" s="299"/>
      <c r="G230" s="299"/>
      <c r="H230" s="300"/>
      <c r="I230" s="299"/>
      <c r="J230" s="299"/>
      <c r="K230" s="299"/>
      <c r="L230" s="418"/>
    </row>
    <row r="231" spans="1:11" s="148" customFormat="1" ht="12.75">
      <c r="A231" s="150"/>
      <c r="B231" s="150"/>
      <c r="D231" s="150"/>
      <c r="E231" s="261"/>
      <c r="F231" s="299"/>
      <c r="G231" s="299"/>
      <c r="H231" s="300"/>
      <c r="I231" s="299"/>
      <c r="J231" s="299"/>
      <c r="K231" s="299"/>
    </row>
    <row r="232" spans="1:11" s="148" customFormat="1" ht="12.75">
      <c r="A232" s="150"/>
      <c r="B232" s="150"/>
      <c r="D232" s="150"/>
      <c r="E232" s="261"/>
      <c r="F232" s="299"/>
      <c r="G232" s="299"/>
      <c r="H232" s="300"/>
      <c r="I232" s="299"/>
      <c r="J232" s="299"/>
      <c r="K232" s="299"/>
    </row>
    <row r="233" spans="1:14" s="147" customFormat="1" ht="12.75">
      <c r="A233" s="150"/>
      <c r="B233" s="150"/>
      <c r="C233" s="148"/>
      <c r="D233" s="150"/>
      <c r="E233" s="261"/>
      <c r="F233" s="299"/>
      <c r="G233" s="299"/>
      <c r="H233" s="300"/>
      <c r="I233" s="299"/>
      <c r="J233" s="299"/>
      <c r="K233" s="299"/>
      <c r="L233" s="148"/>
      <c r="M233" s="148"/>
      <c r="N233" s="148"/>
    </row>
    <row r="234" spans="1:13" s="147" customFormat="1" ht="12.75">
      <c r="A234" s="145"/>
      <c r="B234" s="145"/>
      <c r="C234" s="148"/>
      <c r="D234" s="145"/>
      <c r="E234" s="260"/>
      <c r="F234" s="297"/>
      <c r="G234" s="297"/>
      <c r="H234" s="298"/>
      <c r="I234" s="297"/>
      <c r="J234" s="297"/>
      <c r="K234" s="297"/>
      <c r="L234" s="146"/>
      <c r="M234" s="146"/>
    </row>
    <row r="235" spans="1:13" s="147" customFormat="1" ht="12.75">
      <c r="A235" s="145"/>
      <c r="B235" s="145"/>
      <c r="C235" s="148"/>
      <c r="D235" s="145"/>
      <c r="E235" s="260"/>
      <c r="F235" s="297"/>
      <c r="G235" s="297"/>
      <c r="H235" s="298"/>
      <c r="I235" s="297"/>
      <c r="J235" s="297"/>
      <c r="K235" s="297"/>
      <c r="L235" s="146"/>
      <c r="M235" s="146"/>
    </row>
    <row r="236" spans="1:16" s="147" customFormat="1" ht="42.75" customHeight="1">
      <c r="A236" s="145"/>
      <c r="B236" s="145"/>
      <c r="C236" s="146"/>
      <c r="D236" s="145"/>
      <c r="E236" s="260"/>
      <c r="F236" s="297"/>
      <c r="G236" s="297"/>
      <c r="H236" s="298"/>
      <c r="I236" s="297"/>
      <c r="J236" s="297"/>
      <c r="K236" s="297"/>
      <c r="L236" s="146"/>
      <c r="M236" s="146"/>
      <c r="P236" s="315">
        <f>L226</f>
        <v>695535.89</v>
      </c>
    </row>
    <row r="237" spans="1:13" s="147" customFormat="1" ht="12.75">
      <c r="A237" s="145"/>
      <c r="B237" s="145"/>
      <c r="C237" s="146"/>
      <c r="D237" s="145"/>
      <c r="E237" s="260"/>
      <c r="F237" s="297"/>
      <c r="G237" s="297"/>
      <c r="H237" s="298"/>
      <c r="I237" s="297"/>
      <c r="J237" s="297"/>
      <c r="K237" s="297"/>
      <c r="L237" s="240"/>
      <c r="M237" s="240"/>
    </row>
    <row r="238" spans="1:13" s="147" customFormat="1" ht="12.75">
      <c r="A238" s="145"/>
      <c r="B238" s="145"/>
      <c r="C238" s="146"/>
      <c r="D238" s="145"/>
      <c r="E238" s="260"/>
      <c r="F238" s="297"/>
      <c r="G238" s="297"/>
      <c r="H238" s="298"/>
      <c r="I238" s="297"/>
      <c r="J238" s="297"/>
      <c r="K238" s="297"/>
      <c r="L238" s="240"/>
      <c r="M238" s="240"/>
    </row>
    <row r="239" spans="1:13" s="147" customFormat="1" ht="12.75">
      <c r="A239" s="145"/>
      <c r="B239" s="145"/>
      <c r="C239" s="146"/>
      <c r="D239" s="145"/>
      <c r="E239" s="260"/>
      <c r="F239" s="297"/>
      <c r="G239" s="297"/>
      <c r="H239" s="298"/>
      <c r="I239" s="297"/>
      <c r="J239" s="297"/>
      <c r="K239" s="297"/>
      <c r="L239" s="240"/>
      <c r="M239" s="240"/>
    </row>
    <row r="240" spans="1:13" s="147" customFormat="1" ht="12.75">
      <c r="A240" s="145"/>
      <c r="B240" s="145"/>
      <c r="C240" s="146"/>
      <c r="D240" s="145"/>
      <c r="E240" s="260"/>
      <c r="F240" s="297"/>
      <c r="G240" s="297"/>
      <c r="H240" s="298"/>
      <c r="I240" s="297"/>
      <c r="J240" s="297"/>
      <c r="K240" s="297"/>
      <c r="L240" s="146"/>
      <c r="M240" s="146"/>
    </row>
    <row r="241" spans="1:13" s="147" customFormat="1" ht="12.75">
      <c r="A241" s="145"/>
      <c r="B241" s="145"/>
      <c r="C241" s="146"/>
      <c r="D241" s="145"/>
      <c r="E241" s="260"/>
      <c r="F241" s="297"/>
      <c r="G241" s="297"/>
      <c r="H241" s="298"/>
      <c r="I241" s="297"/>
      <c r="J241" s="297"/>
      <c r="K241" s="297"/>
      <c r="L241" s="146"/>
      <c r="M241" s="146"/>
    </row>
    <row r="242" spans="1:13" s="147" customFormat="1" ht="12.75">
      <c r="A242" s="145"/>
      <c r="B242" s="145"/>
      <c r="C242" s="146"/>
      <c r="D242" s="145"/>
      <c r="E242" s="260"/>
      <c r="F242" s="297"/>
      <c r="G242" s="297"/>
      <c r="H242" s="298"/>
      <c r="I242" s="297"/>
      <c r="J242" s="297"/>
      <c r="K242" s="297"/>
      <c r="L242" s="146"/>
      <c r="M242" s="146"/>
    </row>
    <row r="243" spans="1:13" s="147" customFormat="1" ht="12.75">
      <c r="A243" s="145"/>
      <c r="B243" s="145"/>
      <c r="C243" s="146"/>
      <c r="D243" s="145"/>
      <c r="E243" s="260"/>
      <c r="F243" s="297"/>
      <c r="G243" s="297"/>
      <c r="H243" s="298"/>
      <c r="I243" s="297"/>
      <c r="J243" s="297"/>
      <c r="K243" s="297"/>
      <c r="L243" s="146"/>
      <c r="M243" s="146"/>
    </row>
    <row r="244" spans="1:13" s="147" customFormat="1" ht="12.75">
      <c r="A244" s="145"/>
      <c r="B244" s="145"/>
      <c r="C244" s="146"/>
      <c r="D244" s="145"/>
      <c r="E244" s="260"/>
      <c r="F244" s="297"/>
      <c r="G244" s="297"/>
      <c r="H244" s="298"/>
      <c r="I244" s="297"/>
      <c r="J244" s="297"/>
      <c r="K244" s="297"/>
      <c r="L244" s="146"/>
      <c r="M244" s="146"/>
    </row>
    <row r="245" spans="1:13" s="147" customFormat="1" ht="12.75">
      <c r="A245" s="145"/>
      <c r="B245" s="145"/>
      <c r="C245" s="146"/>
      <c r="D245" s="145"/>
      <c r="E245" s="260"/>
      <c r="F245" s="297"/>
      <c r="G245" s="297"/>
      <c r="H245" s="298"/>
      <c r="I245" s="297"/>
      <c r="J245" s="297"/>
      <c r="K245" s="297"/>
      <c r="L245" s="146"/>
      <c r="M245" s="146"/>
    </row>
    <row r="246" spans="1:13" s="147" customFormat="1" ht="12.75">
      <c r="A246" s="145"/>
      <c r="B246" s="145"/>
      <c r="C246" s="146"/>
      <c r="D246" s="145"/>
      <c r="E246" s="260"/>
      <c r="F246" s="297"/>
      <c r="G246" s="297"/>
      <c r="H246" s="298"/>
      <c r="I246" s="297"/>
      <c r="J246" s="297"/>
      <c r="K246" s="297"/>
      <c r="L246" s="146"/>
      <c r="M246" s="146"/>
    </row>
    <row r="247" spans="1:13" s="147" customFormat="1" ht="12.75">
      <c r="A247" s="145"/>
      <c r="B247" s="145"/>
      <c r="C247" s="146"/>
      <c r="D247" s="145"/>
      <c r="E247" s="262"/>
      <c r="F247" s="297"/>
      <c r="G247" s="297"/>
      <c r="H247" s="298"/>
      <c r="I247" s="297"/>
      <c r="J247" s="297"/>
      <c r="K247" s="297"/>
      <c r="L247" s="146"/>
      <c r="M247" s="146"/>
    </row>
    <row r="248" spans="1:13" s="147" customFormat="1" ht="12.75">
      <c r="A248" s="145"/>
      <c r="B248" s="145"/>
      <c r="C248" s="146"/>
      <c r="D248" s="145"/>
      <c r="E248" s="262"/>
      <c r="F248" s="297"/>
      <c r="G248" s="297"/>
      <c r="H248" s="298"/>
      <c r="I248" s="297"/>
      <c r="J248" s="297"/>
      <c r="K248" s="297"/>
      <c r="L248" s="146"/>
      <c r="M248" s="146"/>
    </row>
    <row r="249" spans="1:13" s="147" customFormat="1" ht="12.75">
      <c r="A249" s="145"/>
      <c r="B249" s="145"/>
      <c r="C249" s="146"/>
      <c r="D249" s="145"/>
      <c r="E249" s="260"/>
      <c r="F249" s="297"/>
      <c r="G249" s="297"/>
      <c r="H249" s="298"/>
      <c r="I249" s="297"/>
      <c r="J249" s="297"/>
      <c r="K249" s="297"/>
      <c r="L249" s="146"/>
      <c r="M249" s="146"/>
    </row>
    <row r="250" spans="1:13" s="147" customFormat="1" ht="12.75">
      <c r="A250" s="145"/>
      <c r="B250" s="145"/>
      <c r="C250" s="146"/>
      <c r="D250" s="145"/>
      <c r="E250" s="260"/>
      <c r="F250" s="297"/>
      <c r="G250" s="297"/>
      <c r="H250" s="298"/>
      <c r="I250" s="297"/>
      <c r="J250" s="297"/>
      <c r="K250" s="297"/>
      <c r="L250" s="146"/>
      <c r="M250" s="146"/>
    </row>
    <row r="251" spans="1:13" s="147" customFormat="1" ht="12.75">
      <c r="A251" s="145"/>
      <c r="B251" s="145"/>
      <c r="C251" s="146"/>
      <c r="D251" s="145"/>
      <c r="E251" s="260"/>
      <c r="F251" s="297"/>
      <c r="G251" s="297"/>
      <c r="H251" s="298"/>
      <c r="I251" s="297"/>
      <c r="J251" s="297"/>
      <c r="K251" s="297"/>
      <c r="L251" s="146"/>
      <c r="M251" s="146"/>
    </row>
    <row r="252" spans="1:13" s="147" customFormat="1" ht="12.75">
      <c r="A252" s="145"/>
      <c r="B252" s="145"/>
      <c r="C252" s="146"/>
      <c r="D252" s="145"/>
      <c r="E252" s="260"/>
      <c r="F252" s="297"/>
      <c r="G252" s="297"/>
      <c r="H252" s="298"/>
      <c r="I252" s="297"/>
      <c r="J252" s="297"/>
      <c r="K252" s="297"/>
      <c r="L252" s="146"/>
      <c r="M252" s="146"/>
    </row>
    <row r="253" spans="1:13" s="147" customFormat="1" ht="12.75">
      <c r="A253" s="145"/>
      <c r="B253" s="145"/>
      <c r="C253" s="146"/>
      <c r="D253" s="145"/>
      <c r="E253" s="260"/>
      <c r="F253" s="297"/>
      <c r="G253" s="297"/>
      <c r="H253" s="298"/>
      <c r="I253" s="297"/>
      <c r="J253" s="297"/>
      <c r="K253" s="297"/>
      <c r="L253" s="146"/>
      <c r="M253" s="146"/>
    </row>
    <row r="254" spans="1:13" s="147" customFormat="1" ht="12.75">
      <c r="A254" s="145"/>
      <c r="B254" s="145"/>
      <c r="C254" s="146"/>
      <c r="D254" s="145"/>
      <c r="E254" s="260"/>
      <c r="F254" s="297"/>
      <c r="G254" s="297"/>
      <c r="H254" s="298"/>
      <c r="I254" s="297"/>
      <c r="J254" s="297"/>
      <c r="K254" s="297"/>
      <c r="L254" s="146"/>
      <c r="M254" s="146"/>
    </row>
    <row r="255" spans="1:13" s="147" customFormat="1" ht="12.75">
      <c r="A255" s="145"/>
      <c r="B255" s="145"/>
      <c r="C255" s="146"/>
      <c r="D255" s="145"/>
      <c r="E255" s="260"/>
      <c r="F255" s="297"/>
      <c r="G255" s="297"/>
      <c r="H255" s="298"/>
      <c r="I255" s="297"/>
      <c r="J255" s="297"/>
      <c r="K255" s="297"/>
      <c r="L255" s="146"/>
      <c r="M255" s="146"/>
    </row>
    <row r="256" spans="1:13" s="147" customFormat="1" ht="12.75">
      <c r="A256" s="145"/>
      <c r="B256" s="145"/>
      <c r="C256" s="146"/>
      <c r="D256" s="145"/>
      <c r="E256" s="260"/>
      <c r="F256" s="297"/>
      <c r="G256" s="297"/>
      <c r="H256" s="298"/>
      <c r="I256" s="297"/>
      <c r="J256" s="297"/>
      <c r="K256" s="297"/>
      <c r="L256" s="146"/>
      <c r="M256" s="146"/>
    </row>
    <row r="257" spans="1:13" s="147" customFormat="1" ht="12.75">
      <c r="A257" s="145"/>
      <c r="B257" s="145"/>
      <c r="C257" s="146"/>
      <c r="D257" s="145"/>
      <c r="E257" s="260"/>
      <c r="F257" s="297"/>
      <c r="G257" s="297"/>
      <c r="H257" s="298"/>
      <c r="I257" s="297"/>
      <c r="J257" s="297"/>
      <c r="K257" s="297"/>
      <c r="L257" s="146"/>
      <c r="M257" s="146"/>
    </row>
    <row r="258" spans="1:13" s="147" customFormat="1" ht="12.75">
      <c r="A258" s="145"/>
      <c r="B258" s="145"/>
      <c r="C258" s="146"/>
      <c r="D258" s="145"/>
      <c r="E258" s="260"/>
      <c r="F258" s="297"/>
      <c r="G258" s="297"/>
      <c r="H258" s="298"/>
      <c r="I258" s="297"/>
      <c r="J258" s="297"/>
      <c r="K258" s="297"/>
      <c r="L258" s="146"/>
      <c r="M258" s="146"/>
    </row>
    <row r="259" spans="1:13" s="147" customFormat="1" ht="12.75">
      <c r="A259" s="145"/>
      <c r="B259" s="145"/>
      <c r="C259" s="146"/>
      <c r="D259" s="145"/>
      <c r="E259" s="260"/>
      <c r="F259" s="297"/>
      <c r="G259" s="297"/>
      <c r="H259" s="298"/>
      <c r="I259" s="297"/>
      <c r="J259" s="297"/>
      <c r="K259" s="297"/>
      <c r="L259" s="146"/>
      <c r="M259" s="146"/>
    </row>
    <row r="260" spans="1:13" s="147" customFormat="1" ht="12.75">
      <c r="A260" s="145"/>
      <c r="B260" s="145"/>
      <c r="C260" s="146"/>
      <c r="D260" s="145"/>
      <c r="E260" s="260"/>
      <c r="F260" s="297"/>
      <c r="G260" s="297"/>
      <c r="H260" s="298"/>
      <c r="I260" s="297"/>
      <c r="J260" s="297"/>
      <c r="K260" s="297"/>
      <c r="L260" s="146"/>
      <c r="M260" s="146"/>
    </row>
    <row r="261" spans="1:13" s="147" customFormat="1" ht="12.75">
      <c r="A261" s="145"/>
      <c r="B261" s="145"/>
      <c r="C261" s="146"/>
      <c r="D261" s="145"/>
      <c r="E261" s="260"/>
      <c r="F261" s="297"/>
      <c r="G261" s="297"/>
      <c r="H261" s="298"/>
      <c r="I261" s="297"/>
      <c r="J261" s="297"/>
      <c r="K261" s="297"/>
      <c r="L261" s="146"/>
      <c r="M261" s="146"/>
    </row>
    <row r="262" spans="1:13" s="147" customFormat="1" ht="12.75">
      <c r="A262" s="145"/>
      <c r="B262" s="145"/>
      <c r="C262" s="146"/>
      <c r="D262" s="145"/>
      <c r="E262" s="260"/>
      <c r="F262" s="297"/>
      <c r="G262" s="297"/>
      <c r="H262" s="298"/>
      <c r="I262" s="297"/>
      <c r="J262" s="297"/>
      <c r="K262" s="297"/>
      <c r="L262" s="146"/>
      <c r="M262" s="146"/>
    </row>
    <row r="263" spans="1:13" s="147" customFormat="1" ht="12.75">
      <c r="A263" s="145"/>
      <c r="B263" s="145"/>
      <c r="C263" s="146"/>
      <c r="D263" s="145"/>
      <c r="E263" s="260"/>
      <c r="F263" s="297"/>
      <c r="G263" s="297"/>
      <c r="H263" s="298"/>
      <c r="I263" s="297"/>
      <c r="J263" s="297"/>
      <c r="K263" s="297"/>
      <c r="L263" s="146"/>
      <c r="M263" s="146"/>
    </row>
    <row r="264" spans="1:13" s="147" customFormat="1" ht="12.75">
      <c r="A264" s="145"/>
      <c r="B264" s="145"/>
      <c r="C264" s="146"/>
      <c r="D264" s="145"/>
      <c r="E264" s="260"/>
      <c r="F264" s="297"/>
      <c r="G264" s="297"/>
      <c r="H264" s="298"/>
      <c r="I264" s="297"/>
      <c r="J264" s="297"/>
      <c r="K264" s="297"/>
      <c r="L264" s="146"/>
      <c r="M264" s="146"/>
    </row>
    <row r="265" spans="1:14" ht="12.75">
      <c r="A265" s="145"/>
      <c r="B265" s="145"/>
      <c r="C265" s="146"/>
      <c r="D265" s="145"/>
      <c r="E265" s="260"/>
      <c r="F265" s="297"/>
      <c r="G265" s="297"/>
      <c r="H265" s="298"/>
      <c r="I265" s="297"/>
      <c r="J265" s="297"/>
      <c r="K265" s="297"/>
      <c r="L265" s="146"/>
      <c r="M265" s="146"/>
      <c r="N265" s="147"/>
    </row>
    <row r="266" spans="1:13" ht="12.75">
      <c r="A266" s="102"/>
      <c r="B266" s="102"/>
      <c r="C266" s="3"/>
      <c r="D266" s="307"/>
      <c r="E266" s="263"/>
      <c r="F266" s="301"/>
      <c r="G266" s="301"/>
      <c r="H266" s="302"/>
      <c r="I266" s="301"/>
      <c r="J266" s="301"/>
      <c r="K266" s="301"/>
      <c r="L266" s="3"/>
      <c r="M266" s="3"/>
    </row>
    <row r="267" spans="1:13" ht="12.75">
      <c r="A267" s="102"/>
      <c r="B267" s="102"/>
      <c r="C267" s="3"/>
      <c r="D267" s="307"/>
      <c r="E267" s="263"/>
      <c r="F267" s="301"/>
      <c r="G267" s="301"/>
      <c r="H267" s="302"/>
      <c r="I267" s="301"/>
      <c r="J267" s="301"/>
      <c r="K267" s="301"/>
      <c r="L267" s="3"/>
      <c r="M267" s="3"/>
    </row>
    <row r="268" spans="1:13" ht="12.75">
      <c r="A268" s="102"/>
      <c r="B268" s="102"/>
      <c r="C268" s="3"/>
      <c r="D268" s="307"/>
      <c r="E268" s="263"/>
      <c r="F268" s="301"/>
      <c r="G268" s="301"/>
      <c r="H268" s="302"/>
      <c r="I268" s="301"/>
      <c r="J268" s="301"/>
      <c r="K268" s="301"/>
      <c r="L268" s="3"/>
      <c r="M268" s="3"/>
    </row>
    <row r="269" spans="1:13" ht="12.75">
      <c r="A269" s="102"/>
      <c r="B269" s="102"/>
      <c r="C269" s="3"/>
      <c r="D269" s="307"/>
      <c r="E269" s="263"/>
      <c r="F269" s="301"/>
      <c r="G269" s="301"/>
      <c r="H269" s="302"/>
      <c r="I269" s="301"/>
      <c r="J269" s="301"/>
      <c r="K269" s="301"/>
      <c r="L269" s="3"/>
      <c r="M269" s="3"/>
    </row>
    <row r="270" spans="1:13" ht="12.75">
      <c r="A270" s="102"/>
      <c r="B270" s="102"/>
      <c r="C270" s="3"/>
      <c r="D270" s="307"/>
      <c r="E270" s="263"/>
      <c r="F270" s="301"/>
      <c r="G270" s="301"/>
      <c r="H270" s="302"/>
      <c r="I270" s="301"/>
      <c r="J270" s="301"/>
      <c r="K270" s="301"/>
      <c r="L270" s="3"/>
      <c r="M270" s="3"/>
    </row>
    <row r="271" spans="1:13" ht="12.75">
      <c r="A271" s="102"/>
      <c r="B271" s="102"/>
      <c r="C271" s="3"/>
      <c r="D271" s="307"/>
      <c r="E271" s="263"/>
      <c r="F271" s="301"/>
      <c r="G271" s="301"/>
      <c r="H271" s="302"/>
      <c r="I271" s="301"/>
      <c r="J271" s="301"/>
      <c r="K271" s="301"/>
      <c r="L271" s="3"/>
      <c r="M271" s="3"/>
    </row>
    <row r="272" spans="1:13" ht="12.75">
      <c r="A272" s="102"/>
      <c r="B272" s="102"/>
      <c r="C272" s="3"/>
      <c r="D272" s="307"/>
      <c r="E272" s="263"/>
      <c r="F272" s="301"/>
      <c r="G272" s="301"/>
      <c r="H272" s="302"/>
      <c r="I272" s="301"/>
      <c r="J272" s="301"/>
      <c r="K272" s="301"/>
      <c r="L272" s="3"/>
      <c r="M272" s="3"/>
    </row>
    <row r="273" spans="1:13" ht="12.75">
      <c r="A273" s="102"/>
      <c r="B273" s="102"/>
      <c r="C273" s="3"/>
      <c r="D273" s="307"/>
      <c r="E273" s="263"/>
      <c r="F273" s="301"/>
      <c r="G273" s="301"/>
      <c r="H273" s="302"/>
      <c r="I273" s="301"/>
      <c r="J273" s="301"/>
      <c r="K273" s="301"/>
      <c r="L273" s="3"/>
      <c r="M273" s="3"/>
    </row>
    <row r="274" spans="1:13" ht="12.75">
      <c r="A274" s="102"/>
      <c r="B274" s="102"/>
      <c r="C274" s="3"/>
      <c r="D274" s="307"/>
      <c r="E274" s="263"/>
      <c r="F274" s="301"/>
      <c r="G274" s="301"/>
      <c r="H274" s="302"/>
      <c r="I274" s="301"/>
      <c r="J274" s="301"/>
      <c r="K274" s="301"/>
      <c r="L274" s="3"/>
      <c r="M274" s="3"/>
    </row>
    <row r="275" spans="1:13" ht="12.75">
      <c r="A275" s="102"/>
      <c r="B275" s="102"/>
      <c r="C275" s="3"/>
      <c r="D275" s="307"/>
      <c r="E275" s="263"/>
      <c r="F275" s="301"/>
      <c r="G275" s="301"/>
      <c r="H275" s="302"/>
      <c r="I275" s="301"/>
      <c r="J275" s="301"/>
      <c r="K275" s="301"/>
      <c r="L275" s="3"/>
      <c r="M275" s="3"/>
    </row>
  </sheetData>
  <sheetProtection/>
  <mergeCells count="8">
    <mergeCell ref="E2:F2"/>
    <mergeCell ref="A6:L6"/>
    <mergeCell ref="A5:L5"/>
    <mergeCell ref="A7:L7"/>
    <mergeCell ref="A8:E8"/>
    <mergeCell ref="F8:H8"/>
    <mergeCell ref="E4:G4"/>
    <mergeCell ref="I8:K8"/>
  </mergeCells>
  <printOptions horizontalCentered="1"/>
  <pageMargins left="0.2362204724409449" right="0" top="0.2362204724409449" bottom="0.3937007874015748" header="0.1968503937007874" footer="0.2362204724409449"/>
  <pageSetup horizontalDpi="300" verticalDpi="300" orientation="landscape" paperSize="9" scale="47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86"/>
  <sheetViews>
    <sheetView showGridLines="0" view="pageBreakPreview" zoomScale="80" zoomScaleNormal="80" zoomScaleSheetLayoutView="80" zoomScalePageLayoutView="0" workbookViewId="0" topLeftCell="A4">
      <selection activeCell="H18" sqref="H18"/>
    </sheetView>
  </sheetViews>
  <sheetFormatPr defaultColWidth="9.140625" defaultRowHeight="12.75"/>
  <cols>
    <col min="1" max="1" width="11.7109375" style="0" customWidth="1"/>
    <col min="2" max="2" width="59.140625" style="0" customWidth="1"/>
    <col min="3" max="3" width="17.140625" style="0" customWidth="1"/>
    <col min="4" max="4" width="12.7109375" style="0" customWidth="1"/>
    <col min="8" max="8" width="12.28125" style="0" bestFit="1" customWidth="1"/>
  </cols>
  <sheetData>
    <row r="3" spans="1:4" ht="27.75">
      <c r="A3" s="179"/>
      <c r="B3" s="2"/>
      <c r="C3" s="178"/>
      <c r="D3" s="2"/>
    </row>
    <row r="4" spans="1:4" ht="27.75">
      <c r="A4" s="179"/>
      <c r="B4" s="2"/>
      <c r="C4" s="178" t="s">
        <v>4</v>
      </c>
      <c r="D4" s="2"/>
    </row>
    <row r="5" spans="1:4" ht="27.75">
      <c r="A5" s="179"/>
      <c r="B5" s="2"/>
      <c r="C5" s="178"/>
      <c r="D5" s="2"/>
    </row>
    <row r="6" spans="1:4" ht="18.75" customHeight="1">
      <c r="A6" s="179"/>
      <c r="B6" s="114" t="s">
        <v>208</v>
      </c>
      <c r="C6" s="178"/>
      <c r="D6" s="2"/>
    </row>
    <row r="7" spans="1:4" ht="14.25" customHeight="1">
      <c r="A7" s="179"/>
      <c r="B7" s="114" t="s">
        <v>209</v>
      </c>
      <c r="C7" s="178"/>
      <c r="D7" s="2"/>
    </row>
    <row r="8" spans="1:4" ht="12.75" customHeight="1">
      <c r="A8" s="180"/>
      <c r="B8" s="114" t="s">
        <v>210</v>
      </c>
      <c r="C8" s="81"/>
      <c r="D8" s="2"/>
    </row>
    <row r="9" spans="1:4" ht="12.75" customHeight="1" thickBot="1">
      <c r="A9" s="82"/>
      <c r="B9" s="82"/>
      <c r="C9" s="83"/>
      <c r="D9" s="97"/>
    </row>
    <row r="10" spans="1:4" ht="30.75" customHeight="1">
      <c r="A10" s="431" t="str">
        <f>PLANILHA!A8</f>
        <v>OBJETO: REFORMA DA PISCINA</v>
      </c>
      <c r="B10" s="432"/>
      <c r="C10" s="432"/>
      <c r="D10" s="433"/>
    </row>
    <row r="11" spans="1:6" ht="39" customHeight="1">
      <c r="A11" s="434"/>
      <c r="B11" s="435"/>
      <c r="C11" s="435"/>
      <c r="D11" s="436"/>
      <c r="F11" s="211"/>
    </row>
    <row r="12" spans="1:4" ht="20.25" customHeight="1" thickBot="1">
      <c r="A12" s="84" t="str">
        <f>PLANILHA!A8</f>
        <v>OBJETO: REFORMA DA PISCINA</v>
      </c>
      <c r="B12" s="85"/>
      <c r="C12" s="108"/>
      <c r="D12" s="86"/>
    </row>
    <row r="13" spans="1:4" ht="34.5" customHeight="1">
      <c r="A13" s="90" t="s">
        <v>5</v>
      </c>
      <c r="B13" s="91" t="s">
        <v>6</v>
      </c>
      <c r="C13" s="210" t="s">
        <v>7</v>
      </c>
      <c r="D13" s="92" t="s">
        <v>13</v>
      </c>
    </row>
    <row r="14" spans="1:4" ht="27" customHeight="1">
      <c r="A14" s="93" t="s">
        <v>91</v>
      </c>
      <c r="B14" s="87" t="str">
        <f>PLANILHA!C10</f>
        <v>SERVIÇOS TECNICOS-PROFISSIONAIS</v>
      </c>
      <c r="C14" s="88">
        <f>PLANILHA!L13</f>
        <v>701.82</v>
      </c>
      <c r="D14" s="177">
        <f aca="true" t="shared" si="0" ref="D14:D20">C14/$C$20</f>
        <v>0.0012</v>
      </c>
    </row>
    <row r="15" spans="1:4" ht="27" customHeight="1">
      <c r="A15" s="93" t="s">
        <v>94</v>
      </c>
      <c r="B15" s="87" t="str">
        <f>PLANILHA!C16</f>
        <v>SERVIÇOS PRELIMINARES</v>
      </c>
      <c r="C15" s="88">
        <f>PLANILHA!L27</f>
        <v>27048.47</v>
      </c>
      <c r="D15" s="177">
        <f t="shared" si="0"/>
        <v>0.0477</v>
      </c>
    </row>
    <row r="16" spans="1:4" ht="27" customHeight="1">
      <c r="A16" s="93" t="s">
        <v>97</v>
      </c>
      <c r="B16" s="87" t="str">
        <f>PLANILHA!C29</f>
        <v>ARQUITETURA E ELEMENTOS DE URBANISMO</v>
      </c>
      <c r="C16" s="88">
        <f>PLANILHA!L85</f>
        <v>404082.44</v>
      </c>
      <c r="D16" s="177">
        <f t="shared" si="0"/>
        <v>0.7133</v>
      </c>
    </row>
    <row r="17" spans="1:4" ht="27" customHeight="1">
      <c r="A17" s="93" t="s">
        <v>98</v>
      </c>
      <c r="B17" s="87" t="str">
        <f>PLANILHA!C87</f>
        <v>INSTALAÇÕES HIDRÁULICAS E SANITÁRIAS</v>
      </c>
      <c r="C17" s="88">
        <f>PLANILHA!L121</f>
        <v>44475.53</v>
      </c>
      <c r="D17" s="177">
        <f t="shared" si="0"/>
        <v>0.0785</v>
      </c>
    </row>
    <row r="18" spans="1:4" ht="27" customHeight="1">
      <c r="A18" s="93" t="s">
        <v>9</v>
      </c>
      <c r="B18" s="87" t="str">
        <f>PLANILHA!C123</f>
        <v>INSTALAÇÕES ELÉTRICAS E ELETRÔNICAS</v>
      </c>
      <c r="C18" s="88">
        <f>PLANILHA!L152</f>
        <v>87350.59</v>
      </c>
      <c r="D18" s="177">
        <f t="shared" si="0"/>
        <v>0.1542</v>
      </c>
    </row>
    <row r="19" spans="1:4" ht="27" customHeight="1">
      <c r="A19" s="93" t="s">
        <v>10</v>
      </c>
      <c r="B19" s="87" t="str">
        <f>PLANILHA!C153</f>
        <v>SERVIÇOS COMPLEMENTARES</v>
      </c>
      <c r="C19" s="88">
        <f>PLANILHA!L157</f>
        <v>2876.86</v>
      </c>
      <c r="D19" s="177">
        <f t="shared" si="0"/>
        <v>0.0051</v>
      </c>
    </row>
    <row r="20" spans="1:4" ht="18.75" customHeight="1">
      <c r="A20" s="437" t="s">
        <v>8</v>
      </c>
      <c r="B20" s="438"/>
      <c r="C20" s="89">
        <f>SUM(C14:C19)</f>
        <v>566535.71</v>
      </c>
      <c r="D20" s="177">
        <f t="shared" si="0"/>
        <v>1</v>
      </c>
    </row>
    <row r="21" spans="1:4" ht="15">
      <c r="A21" s="437" t="s">
        <v>12</v>
      </c>
      <c r="B21" s="438"/>
      <c r="C21" s="89">
        <f>C20*PLANILHA!K225</f>
        <v>129000.18</v>
      </c>
      <c r="D21" s="94" t="s">
        <v>202</v>
      </c>
    </row>
    <row r="22" spans="1:4" ht="15.75" thickBot="1">
      <c r="A22" s="439" t="s">
        <v>14</v>
      </c>
      <c r="B22" s="440"/>
      <c r="C22" s="95">
        <f>SUM(C20:C21)</f>
        <v>695535.89</v>
      </c>
      <c r="D22" s="96">
        <f>C22/PLANILHA!E155</f>
        <v>556.07</v>
      </c>
    </row>
    <row r="23" spans="1:4" ht="12.75">
      <c r="A23" s="4"/>
      <c r="B23" s="5"/>
      <c r="C23" s="6"/>
      <c r="D23" s="7"/>
    </row>
    <row r="24" spans="1:4" ht="12.75">
      <c r="A24" s="4"/>
      <c r="B24" s="5"/>
      <c r="C24" s="6"/>
      <c r="D24" s="7"/>
    </row>
    <row r="25" spans="1:4" ht="12.75">
      <c r="A25" s="4"/>
      <c r="B25" s="5"/>
      <c r="C25" s="6"/>
      <c r="D25" s="7"/>
    </row>
    <row r="26" spans="1:4" ht="12.75">
      <c r="A26" s="4"/>
      <c r="B26" s="5"/>
      <c r="C26" s="6"/>
      <c r="D26" s="7"/>
    </row>
    <row r="27" spans="1:4" ht="12.75">
      <c r="A27" s="4"/>
      <c r="B27" s="8"/>
      <c r="C27" s="9"/>
      <c r="D27" s="7"/>
    </row>
    <row r="28" spans="1:4" ht="15.75">
      <c r="A28" s="4"/>
      <c r="B28" s="10"/>
      <c r="C28" s="9"/>
      <c r="D28" s="7"/>
    </row>
    <row r="29" spans="1:4" ht="15.75">
      <c r="A29" s="4"/>
      <c r="B29" s="10"/>
      <c r="C29" s="11"/>
      <c r="D29" s="7"/>
    </row>
    <row r="30" spans="1:4" ht="12.75">
      <c r="A30" s="4"/>
      <c r="B30" s="8"/>
      <c r="C30" s="6"/>
      <c r="D30" s="7"/>
    </row>
    <row r="31" spans="1:4" ht="15.75">
      <c r="A31" s="12"/>
      <c r="B31" s="10"/>
      <c r="C31" s="6"/>
      <c r="D31" s="7"/>
    </row>
    <row r="32" spans="1:4" ht="12.75">
      <c r="A32" s="13"/>
      <c r="B32" s="8"/>
      <c r="C32" s="6"/>
      <c r="D32" s="7"/>
    </row>
    <row r="33" spans="1:4" ht="12.75">
      <c r="A33" s="13"/>
      <c r="B33" s="8"/>
      <c r="C33" s="6"/>
      <c r="D33" s="7"/>
    </row>
    <row r="34" spans="1:4" ht="12.75">
      <c r="A34" s="4"/>
      <c r="B34" s="14"/>
      <c r="C34" s="6"/>
      <c r="D34" s="7"/>
    </row>
    <row r="35" spans="1:4" ht="12.75">
      <c r="A35" s="4"/>
      <c r="B35" s="15"/>
      <c r="C35" s="6"/>
      <c r="D35" s="7"/>
    </row>
    <row r="36" spans="1:4" ht="12.75">
      <c r="A36" s="4"/>
      <c r="B36" s="15"/>
      <c r="C36" s="6"/>
      <c r="D36" s="7"/>
    </row>
    <row r="37" spans="1:4" ht="12.75">
      <c r="A37" s="4"/>
      <c r="B37" s="15"/>
      <c r="C37" s="6"/>
      <c r="D37" s="7"/>
    </row>
    <row r="38" spans="1:4" ht="12.75">
      <c r="A38" s="4"/>
      <c r="B38" s="15"/>
      <c r="C38" s="6"/>
      <c r="D38" s="7"/>
    </row>
    <row r="39" spans="1:4" ht="12.75">
      <c r="A39" s="4"/>
      <c r="B39" s="15"/>
      <c r="C39" s="6"/>
      <c r="D39" s="7"/>
    </row>
    <row r="40" spans="1:4" ht="12.75">
      <c r="A40" s="4"/>
      <c r="B40" s="15"/>
      <c r="C40" s="6"/>
      <c r="D40" s="7"/>
    </row>
    <row r="41" spans="1:4" ht="12.75">
      <c r="A41" s="4"/>
      <c r="B41" s="15"/>
      <c r="C41" s="6"/>
      <c r="D41" s="7"/>
    </row>
    <row r="42" spans="1:4" ht="12.75">
      <c r="A42" s="4"/>
      <c r="B42" s="15"/>
      <c r="C42" s="6"/>
      <c r="D42" s="7"/>
    </row>
    <row r="43" spans="1:4" ht="12.75">
      <c r="A43" s="4"/>
      <c r="B43" s="15"/>
      <c r="C43" s="6"/>
      <c r="D43" s="7"/>
    </row>
    <row r="44" spans="1:4" ht="12.75">
      <c r="A44" s="4"/>
      <c r="B44" s="15"/>
      <c r="C44" s="6"/>
      <c r="D44" s="7"/>
    </row>
    <row r="45" spans="1:4" ht="12.75">
      <c r="A45" s="4"/>
      <c r="B45" s="15"/>
      <c r="C45" s="6"/>
      <c r="D45" s="7"/>
    </row>
    <row r="46" spans="1:4" ht="12.75">
      <c r="A46" s="4"/>
      <c r="B46" s="5"/>
      <c r="C46" s="6"/>
      <c r="D46" s="7"/>
    </row>
    <row r="47" spans="1:4" ht="12.75">
      <c r="A47" s="4"/>
      <c r="B47" s="8"/>
      <c r="C47" s="9"/>
      <c r="D47" s="7"/>
    </row>
    <row r="48" spans="1:4" ht="12.75">
      <c r="A48" s="4"/>
      <c r="B48" s="8"/>
      <c r="C48" s="9"/>
      <c r="D48" s="7"/>
    </row>
    <row r="49" spans="1:4" ht="12.75">
      <c r="A49" s="4"/>
      <c r="B49" s="5"/>
      <c r="C49" s="6"/>
      <c r="D49" s="7"/>
    </row>
    <row r="50" spans="1:4" ht="12.75">
      <c r="A50" s="4"/>
      <c r="B50" s="16"/>
      <c r="C50" s="6"/>
      <c r="D50" s="7"/>
    </row>
    <row r="51" spans="1:4" ht="12.75">
      <c r="A51" s="4"/>
      <c r="B51" s="5"/>
      <c r="C51" s="6"/>
      <c r="D51" s="7"/>
    </row>
    <row r="52" spans="1:4" ht="12.75">
      <c r="A52" s="4"/>
      <c r="B52" s="5"/>
      <c r="C52" s="6"/>
      <c r="D52" s="7"/>
    </row>
    <row r="53" spans="1:4" ht="12.75">
      <c r="A53" s="4"/>
      <c r="B53" s="5"/>
      <c r="C53" s="6"/>
      <c r="D53" s="7"/>
    </row>
    <row r="54" spans="1:4" ht="12.75">
      <c r="A54" s="4"/>
      <c r="B54" s="5"/>
      <c r="C54" s="6"/>
      <c r="D54" s="7"/>
    </row>
    <row r="55" spans="1:4" ht="12.75">
      <c r="A55" s="4"/>
      <c r="B55" s="5"/>
      <c r="C55" s="6"/>
      <c r="D55" s="7"/>
    </row>
    <row r="56" spans="1:4" ht="12.75">
      <c r="A56" s="4"/>
      <c r="B56" s="5"/>
      <c r="C56" s="6"/>
      <c r="D56" s="7"/>
    </row>
    <row r="57" spans="1:4" ht="12.75">
      <c r="A57" s="4"/>
      <c r="B57" s="5"/>
      <c r="C57" s="6"/>
      <c r="D57" s="7"/>
    </row>
    <row r="58" spans="1:4" ht="12.75">
      <c r="A58" s="4"/>
      <c r="B58" s="5"/>
      <c r="C58" s="6"/>
      <c r="D58" s="7"/>
    </row>
    <row r="59" spans="1:4" ht="12.75">
      <c r="A59" s="4"/>
      <c r="B59" s="5"/>
      <c r="C59" s="6"/>
      <c r="D59" s="7"/>
    </row>
    <row r="60" spans="1:4" ht="12.75">
      <c r="A60" s="4"/>
      <c r="B60" s="14"/>
      <c r="C60" s="6"/>
      <c r="D60" s="7"/>
    </row>
    <row r="61" spans="1:4" ht="12.75">
      <c r="A61" s="4"/>
      <c r="B61" s="8"/>
      <c r="C61" s="9"/>
      <c r="D61" s="7"/>
    </row>
    <row r="62" spans="1:4" ht="12.75">
      <c r="A62" s="4"/>
      <c r="B62" s="5"/>
      <c r="C62" s="6"/>
      <c r="D62" s="7"/>
    </row>
    <row r="63" spans="1:4" ht="15.75">
      <c r="A63" s="4"/>
      <c r="B63" s="10"/>
      <c r="C63" s="11"/>
      <c r="D63" s="7"/>
    </row>
    <row r="64" spans="1:4" ht="15.75">
      <c r="A64" s="4"/>
      <c r="B64" s="10"/>
      <c r="C64" s="11"/>
      <c r="D64" s="7"/>
    </row>
    <row r="65" spans="1:4" ht="12.75">
      <c r="A65" s="4"/>
      <c r="B65" s="5"/>
      <c r="C65" s="6"/>
      <c r="D65" s="7"/>
    </row>
    <row r="66" spans="1:4" ht="15.75">
      <c r="A66" s="12"/>
      <c r="B66" s="10"/>
      <c r="C66" s="6"/>
      <c r="D66" s="7"/>
    </row>
    <row r="67" spans="1:4" ht="12.75">
      <c r="A67" s="13"/>
      <c r="B67" s="8"/>
      <c r="C67" s="6"/>
      <c r="D67" s="7"/>
    </row>
    <row r="68" spans="1:4" ht="12.75">
      <c r="A68" s="13"/>
      <c r="B68" s="17"/>
      <c r="C68" s="6"/>
      <c r="D68" s="7"/>
    </row>
    <row r="69" spans="1:4" ht="12.75">
      <c r="A69" s="4"/>
      <c r="B69" s="15"/>
      <c r="C69" s="6"/>
      <c r="D69" s="7"/>
    </row>
    <row r="70" spans="1:4" ht="12.75">
      <c r="A70" s="4"/>
      <c r="B70" s="15"/>
      <c r="C70" s="6"/>
      <c r="D70" s="7"/>
    </row>
    <row r="71" spans="1:4" ht="12.75">
      <c r="A71" s="4"/>
      <c r="B71" s="15"/>
      <c r="C71" s="6"/>
      <c r="D71" s="7"/>
    </row>
    <row r="72" spans="1:4" ht="12.75">
      <c r="A72" s="4"/>
      <c r="B72" s="15"/>
      <c r="C72" s="6"/>
      <c r="D72" s="7"/>
    </row>
    <row r="73" spans="1:4" ht="12.75">
      <c r="A73" s="4"/>
      <c r="B73" s="15"/>
      <c r="C73" s="6"/>
      <c r="D73" s="7"/>
    </row>
    <row r="74" spans="1:4" ht="12.75">
      <c r="A74" s="4"/>
      <c r="B74" s="15"/>
      <c r="C74" s="6"/>
      <c r="D74" s="7"/>
    </row>
    <row r="75" spans="1:4" ht="12.75">
      <c r="A75" s="4"/>
      <c r="B75" s="15"/>
      <c r="C75" s="6"/>
      <c r="D75" s="7"/>
    </row>
    <row r="76" spans="1:4" ht="12.75">
      <c r="A76" s="4"/>
      <c r="B76" s="15"/>
      <c r="C76" s="6"/>
      <c r="D76" s="7"/>
    </row>
    <row r="77" spans="1:4" ht="12.75">
      <c r="A77" s="4"/>
      <c r="B77" s="15"/>
      <c r="C77" s="6"/>
      <c r="D77" s="7"/>
    </row>
    <row r="78" spans="1:4" ht="12.75">
      <c r="A78" s="4"/>
      <c r="B78" s="15"/>
      <c r="C78" s="6"/>
      <c r="D78" s="7"/>
    </row>
    <row r="79" spans="1:4" ht="12.75">
      <c r="A79" s="4"/>
      <c r="B79" s="15"/>
      <c r="C79" s="6"/>
      <c r="D79" s="7"/>
    </row>
    <row r="80" spans="1:4" ht="12.75">
      <c r="A80" s="4"/>
      <c r="B80" s="15"/>
      <c r="C80" s="6"/>
      <c r="D80" s="7"/>
    </row>
    <row r="81" spans="1:4" ht="12.75">
      <c r="A81" s="4"/>
      <c r="B81" s="15"/>
      <c r="C81" s="6"/>
      <c r="D81" s="7"/>
    </row>
    <row r="82" spans="1:4" ht="12.75">
      <c r="A82" s="4"/>
      <c r="B82" s="15"/>
      <c r="C82" s="6"/>
      <c r="D82" s="7"/>
    </row>
    <row r="83" spans="1:4" ht="12.75">
      <c r="A83" s="4"/>
      <c r="B83" s="15"/>
      <c r="C83" s="6"/>
      <c r="D83" s="7"/>
    </row>
    <row r="84" spans="1:4" ht="12.75">
      <c r="A84" s="4"/>
      <c r="B84" s="15"/>
      <c r="C84" s="6"/>
      <c r="D84" s="7"/>
    </row>
    <row r="85" spans="1:4" ht="12.75">
      <c r="A85" s="4"/>
      <c r="B85" s="15"/>
      <c r="C85" s="6"/>
      <c r="D85" s="7"/>
    </row>
    <row r="86" spans="1:4" ht="12.75">
      <c r="A86" s="4"/>
      <c r="B86" s="15"/>
      <c r="C86" s="6"/>
      <c r="D86" s="7"/>
    </row>
    <row r="87" spans="1:4" ht="12.75">
      <c r="A87" s="4"/>
      <c r="B87" s="15"/>
      <c r="C87" s="6"/>
      <c r="D87" s="7"/>
    </row>
    <row r="88" spans="1:4" ht="12.75">
      <c r="A88" s="4"/>
      <c r="B88" s="15"/>
      <c r="C88" s="6"/>
      <c r="D88" s="7"/>
    </row>
    <row r="89" spans="1:4" ht="12.75">
      <c r="A89" s="4"/>
      <c r="B89" s="15"/>
      <c r="C89" s="6"/>
      <c r="D89" s="7"/>
    </row>
    <row r="90" spans="1:4" ht="12.75">
      <c r="A90" s="4"/>
      <c r="B90" s="15"/>
      <c r="C90" s="6"/>
      <c r="D90" s="7"/>
    </row>
    <row r="91" spans="1:4" ht="12.75">
      <c r="A91" s="4"/>
      <c r="B91" s="5"/>
      <c r="C91" s="6"/>
      <c r="D91" s="7"/>
    </row>
    <row r="92" spans="1:4" ht="12.75">
      <c r="A92" s="4"/>
      <c r="B92" s="5"/>
      <c r="C92" s="6"/>
      <c r="D92" s="7"/>
    </row>
    <row r="93" spans="1:4" ht="12.75">
      <c r="A93" s="4"/>
      <c r="B93" s="8"/>
      <c r="C93" s="9"/>
      <c r="D93" s="7"/>
    </row>
    <row r="94" spans="1:4" ht="12.75">
      <c r="A94" s="4"/>
      <c r="B94" s="5"/>
      <c r="C94" s="6"/>
      <c r="D94" s="7"/>
    </row>
    <row r="95" spans="1:4" ht="12.75">
      <c r="A95" s="13"/>
      <c r="B95" s="8"/>
      <c r="C95" s="6"/>
      <c r="D95" s="7"/>
    </row>
    <row r="96" spans="1:4" ht="12.75">
      <c r="A96" s="4"/>
      <c r="B96" s="5"/>
      <c r="C96" s="6"/>
      <c r="D96" s="7"/>
    </row>
    <row r="97" spans="1:4" ht="12.75">
      <c r="A97" s="4"/>
      <c r="B97" s="5"/>
      <c r="C97" s="6"/>
      <c r="D97" s="7"/>
    </row>
    <row r="98" spans="1:4" ht="12.75">
      <c r="A98" s="4"/>
      <c r="B98" s="5"/>
      <c r="C98" s="6"/>
      <c r="D98" s="7"/>
    </row>
    <row r="99" spans="1:4" ht="12.75">
      <c r="A99" s="4"/>
      <c r="B99" s="5"/>
      <c r="C99" s="6"/>
      <c r="D99" s="7"/>
    </row>
    <row r="100" spans="1:4" ht="12.75">
      <c r="A100" s="4"/>
      <c r="B100" s="5"/>
      <c r="C100" s="6"/>
      <c r="D100" s="7"/>
    </row>
    <row r="101" spans="1:3" ht="12.75">
      <c r="A101" s="18"/>
      <c r="B101" s="19"/>
      <c r="C101" s="20"/>
    </row>
    <row r="102" spans="1:3" ht="12.75">
      <c r="A102" s="18"/>
      <c r="B102" s="21"/>
      <c r="C102" s="20"/>
    </row>
    <row r="103" spans="1:3" ht="12.75">
      <c r="A103" s="18"/>
      <c r="B103" s="21"/>
      <c r="C103" s="20"/>
    </row>
    <row r="104" spans="1:3" ht="12.75">
      <c r="A104" s="18"/>
      <c r="B104" s="22"/>
      <c r="C104" s="23"/>
    </row>
    <row r="105" spans="1:3" ht="12.75">
      <c r="A105" s="18"/>
      <c r="B105" s="21"/>
      <c r="C105" s="20"/>
    </row>
    <row r="106" spans="1:3" ht="12.75">
      <c r="A106" s="24"/>
      <c r="B106" s="22"/>
      <c r="C106" s="20"/>
    </row>
    <row r="107" spans="1:3" ht="12.75">
      <c r="A107" s="18"/>
      <c r="B107" s="21"/>
      <c r="C107" s="20"/>
    </row>
    <row r="108" spans="1:3" ht="12.75">
      <c r="A108" s="18"/>
      <c r="B108" s="21"/>
      <c r="C108" s="20"/>
    </row>
    <row r="109" spans="1:3" ht="12.75">
      <c r="A109" s="18"/>
      <c r="B109" s="21"/>
      <c r="C109" s="20"/>
    </row>
    <row r="110" spans="1:3" ht="12.75">
      <c r="A110" s="18"/>
      <c r="B110" s="21"/>
      <c r="C110" s="20"/>
    </row>
    <row r="111" spans="1:3" ht="12.75">
      <c r="A111" s="18"/>
      <c r="B111" s="21"/>
      <c r="C111" s="20"/>
    </row>
    <row r="112" spans="1:3" ht="12.75">
      <c r="A112" s="18"/>
      <c r="B112" s="21"/>
      <c r="C112" s="20"/>
    </row>
    <row r="113" spans="1:3" ht="12.75">
      <c r="A113" s="18"/>
      <c r="B113" s="21"/>
      <c r="C113" s="20"/>
    </row>
    <row r="114" spans="1:3" ht="12.75">
      <c r="A114" s="18"/>
      <c r="B114" s="21"/>
      <c r="C114" s="20"/>
    </row>
    <row r="115" spans="1:3" ht="12.75">
      <c r="A115" s="18"/>
      <c r="B115" s="21"/>
      <c r="C115" s="20"/>
    </row>
    <row r="116" spans="1:3" ht="12.75">
      <c r="A116" s="18"/>
      <c r="B116" s="21"/>
      <c r="C116" s="20"/>
    </row>
    <row r="117" spans="1:3" ht="12.75">
      <c r="A117" s="18"/>
      <c r="B117" s="21"/>
      <c r="C117" s="20"/>
    </row>
    <row r="118" spans="1:3" ht="12.75">
      <c r="A118" s="18"/>
      <c r="B118" s="21"/>
      <c r="C118" s="20"/>
    </row>
    <row r="119" spans="1:3" ht="12.75">
      <c r="A119" s="18"/>
      <c r="B119" s="21"/>
      <c r="C119" s="20"/>
    </row>
    <row r="120" spans="1:3" ht="12.75">
      <c r="A120" s="18"/>
      <c r="B120" s="21"/>
      <c r="C120" s="20"/>
    </row>
    <row r="121" spans="1:3" ht="12.75">
      <c r="A121" s="18"/>
      <c r="B121" s="21"/>
      <c r="C121" s="20"/>
    </row>
    <row r="122" spans="1:3" ht="12.75">
      <c r="A122" s="18"/>
      <c r="B122" s="21"/>
      <c r="C122" s="20"/>
    </row>
    <row r="123" spans="1:3" ht="12.75">
      <c r="A123" s="18"/>
      <c r="B123" s="21"/>
      <c r="C123" s="20"/>
    </row>
    <row r="124" spans="1:3" ht="12.75">
      <c r="A124" s="18"/>
      <c r="B124" s="21"/>
      <c r="C124" s="20"/>
    </row>
    <row r="125" spans="1:3" ht="12.75">
      <c r="A125" s="18"/>
      <c r="B125" s="21"/>
      <c r="C125" s="20"/>
    </row>
    <row r="126" spans="1:3" ht="12.75">
      <c r="A126" s="18"/>
      <c r="B126" s="21"/>
      <c r="C126" s="20"/>
    </row>
    <row r="127" spans="1:3" ht="12.75">
      <c r="A127" s="18"/>
      <c r="B127" s="21"/>
      <c r="C127" s="20"/>
    </row>
    <row r="128" spans="1:3" ht="12.75">
      <c r="A128" s="18"/>
      <c r="B128" s="21"/>
      <c r="C128" s="20"/>
    </row>
    <row r="129" spans="1:3" ht="12.75">
      <c r="A129" s="18"/>
      <c r="B129" s="21"/>
      <c r="C129" s="20"/>
    </row>
    <row r="130" spans="1:3" ht="12.75">
      <c r="A130" s="18"/>
      <c r="B130" s="22"/>
      <c r="C130" s="23"/>
    </row>
    <row r="131" spans="1:3" ht="12.75">
      <c r="A131" s="18"/>
      <c r="B131" s="22"/>
      <c r="C131" s="23"/>
    </row>
    <row r="132" spans="1:3" ht="12.75">
      <c r="A132" s="24"/>
      <c r="B132" s="22"/>
      <c r="C132" s="23"/>
    </row>
    <row r="133" spans="1:3" ht="12.75">
      <c r="A133" s="18"/>
      <c r="B133" s="21"/>
      <c r="C133" s="20"/>
    </row>
    <row r="134" spans="1:3" ht="12.75">
      <c r="A134" s="18"/>
      <c r="B134" s="21"/>
      <c r="C134" s="25"/>
    </row>
    <row r="135" spans="1:3" ht="12.75">
      <c r="A135" s="18"/>
      <c r="B135" s="21"/>
      <c r="C135" s="25"/>
    </row>
    <row r="136" spans="1:3" ht="12.75">
      <c r="A136" s="18"/>
      <c r="B136" s="21"/>
      <c r="C136" s="25"/>
    </row>
    <row r="137" spans="1:3" ht="12.75">
      <c r="A137" s="18"/>
      <c r="B137" s="21"/>
      <c r="C137" s="25"/>
    </row>
    <row r="138" spans="1:3" ht="12.75">
      <c r="A138" s="18"/>
      <c r="B138" s="21"/>
      <c r="C138" s="25"/>
    </row>
    <row r="139" spans="1:3" ht="12.75">
      <c r="A139" s="18"/>
      <c r="B139" s="21"/>
      <c r="C139" s="25"/>
    </row>
    <row r="140" spans="1:3" ht="12.75">
      <c r="A140" s="18"/>
      <c r="B140" s="21"/>
      <c r="C140" s="25"/>
    </row>
    <row r="141" spans="1:3" ht="12.75">
      <c r="A141" s="18"/>
      <c r="B141" s="22"/>
      <c r="C141" s="26"/>
    </row>
    <row r="142" spans="1:3" ht="12.75">
      <c r="A142" s="18"/>
      <c r="B142" s="22"/>
      <c r="C142" s="26"/>
    </row>
    <row r="143" spans="1:3" ht="12.75">
      <c r="A143" s="24"/>
      <c r="B143" s="22"/>
      <c r="C143" s="26"/>
    </row>
    <row r="144" spans="1:3" ht="12.75">
      <c r="A144" s="18"/>
      <c r="B144" s="22"/>
      <c r="C144" s="26"/>
    </row>
    <row r="145" spans="1:3" ht="12.75">
      <c r="A145" s="18"/>
      <c r="B145" s="21"/>
      <c r="C145" s="20"/>
    </row>
    <row r="146" spans="1:3" ht="12.75">
      <c r="A146" s="18"/>
      <c r="B146" s="21"/>
      <c r="C146" s="20"/>
    </row>
    <row r="147" spans="1:3" ht="12.75">
      <c r="A147" s="18"/>
      <c r="B147" s="21"/>
      <c r="C147" s="20"/>
    </row>
    <row r="148" spans="1:3" ht="12.75">
      <c r="A148" s="18"/>
      <c r="B148" s="21"/>
      <c r="C148" s="20"/>
    </row>
    <row r="149" spans="1:3" ht="12.75">
      <c r="A149" s="18"/>
      <c r="B149" s="21"/>
      <c r="C149" s="20"/>
    </row>
    <row r="150" spans="1:3" ht="12.75">
      <c r="A150" s="18"/>
      <c r="B150" s="22"/>
      <c r="C150" s="26"/>
    </row>
    <row r="151" spans="1:3" ht="12.75">
      <c r="A151" s="18"/>
      <c r="B151" s="22"/>
      <c r="C151" s="26"/>
    </row>
    <row r="152" spans="1:3" ht="12.75">
      <c r="A152" s="18"/>
      <c r="B152" s="22"/>
      <c r="C152" s="26"/>
    </row>
    <row r="153" spans="1:3" ht="15.75">
      <c r="A153" s="18"/>
      <c r="B153" s="27"/>
      <c r="C153" s="28"/>
    </row>
    <row r="154" spans="1:3" ht="15.75">
      <c r="A154" s="18"/>
      <c r="B154" s="27"/>
      <c r="C154" s="28"/>
    </row>
    <row r="155" spans="1:3" ht="12.75">
      <c r="A155" s="18"/>
      <c r="B155" s="22"/>
      <c r="C155" s="20"/>
    </row>
    <row r="156" spans="1:3" ht="15.75">
      <c r="A156" s="29"/>
      <c r="B156" s="27"/>
      <c r="C156" s="20"/>
    </row>
    <row r="157" spans="1:3" ht="12.75">
      <c r="A157" s="24"/>
      <c r="B157" s="22"/>
      <c r="C157" s="20"/>
    </row>
    <row r="158" spans="1:3" ht="12.75">
      <c r="A158" s="24"/>
      <c r="B158" s="22"/>
      <c r="C158" s="20"/>
    </row>
    <row r="159" spans="1:3" ht="12.75">
      <c r="A159" s="24"/>
      <c r="B159" s="22"/>
      <c r="C159" s="20"/>
    </row>
    <row r="160" spans="1:3" ht="12.75">
      <c r="A160" s="18"/>
      <c r="B160" s="21"/>
      <c r="C160" s="20"/>
    </row>
    <row r="161" spans="1:3" ht="12.75">
      <c r="A161" s="18"/>
      <c r="B161" s="21"/>
      <c r="C161" s="20"/>
    </row>
    <row r="162" spans="1:3" ht="12.75">
      <c r="A162" s="18"/>
      <c r="B162" s="21"/>
      <c r="C162" s="20"/>
    </row>
    <row r="163" spans="1:3" ht="12.75">
      <c r="A163" s="18"/>
      <c r="B163" s="21"/>
      <c r="C163" s="20"/>
    </row>
    <row r="164" spans="1:3" ht="12.75">
      <c r="A164" s="18"/>
      <c r="B164" s="21"/>
      <c r="C164" s="20"/>
    </row>
    <row r="165" spans="1:3" ht="12.75">
      <c r="A165" s="18"/>
      <c r="B165" s="21"/>
      <c r="C165" s="20"/>
    </row>
    <row r="166" spans="1:3" ht="12.75">
      <c r="A166" s="18"/>
      <c r="B166" s="21"/>
      <c r="C166" s="20"/>
    </row>
    <row r="167" spans="1:3" ht="12.75">
      <c r="A167" s="18"/>
      <c r="B167" s="21"/>
      <c r="C167" s="20"/>
    </row>
    <row r="168" spans="1:3" ht="12.75">
      <c r="A168" s="18"/>
      <c r="B168" s="21"/>
      <c r="C168" s="20"/>
    </row>
    <row r="169" spans="1:3" ht="12.75">
      <c r="A169" s="18"/>
      <c r="B169" s="21"/>
      <c r="C169" s="20"/>
    </row>
    <row r="170" spans="1:3" ht="12.75">
      <c r="A170" s="18"/>
      <c r="B170" s="21"/>
      <c r="C170" s="20"/>
    </row>
    <row r="171" spans="1:3" ht="12.75">
      <c r="A171" s="18"/>
      <c r="B171" s="21"/>
      <c r="C171" s="20"/>
    </row>
    <row r="172" spans="1:3" ht="12.75">
      <c r="A172" s="18"/>
      <c r="B172" s="21"/>
      <c r="C172" s="20"/>
    </row>
    <row r="173" spans="1:3" ht="12.75">
      <c r="A173" s="18"/>
      <c r="B173" s="21"/>
      <c r="C173" s="20"/>
    </row>
    <row r="174" spans="1:3" ht="12.75">
      <c r="A174" s="30"/>
      <c r="B174" s="21"/>
      <c r="C174" s="20"/>
    </row>
    <row r="175" spans="1:3" ht="12.75">
      <c r="A175" s="18"/>
      <c r="B175" s="21"/>
      <c r="C175" s="20"/>
    </row>
    <row r="176" spans="1:3" ht="12.75">
      <c r="A176" s="18"/>
      <c r="B176" s="22"/>
      <c r="C176" s="23"/>
    </row>
    <row r="177" spans="1:3" ht="12.75">
      <c r="A177" s="18"/>
      <c r="B177" s="21"/>
      <c r="C177" s="20"/>
    </row>
    <row r="178" spans="1:3" ht="12.75">
      <c r="A178" s="24"/>
      <c r="B178" s="22"/>
      <c r="C178" s="20"/>
    </row>
    <row r="179" spans="1:3" ht="12.75">
      <c r="A179" s="18"/>
      <c r="B179" s="21"/>
      <c r="C179" s="20"/>
    </row>
    <row r="180" spans="1:3" ht="12.75">
      <c r="A180" s="18"/>
      <c r="B180" s="21"/>
      <c r="C180" s="20"/>
    </row>
    <row r="181" spans="1:3" ht="12.75">
      <c r="A181" s="18"/>
      <c r="B181" s="21"/>
      <c r="C181" s="20"/>
    </row>
    <row r="182" spans="1:3" ht="12.75">
      <c r="A182" s="18"/>
      <c r="B182" s="21"/>
      <c r="C182" s="20"/>
    </row>
    <row r="183" spans="1:3" ht="12.75">
      <c r="A183" s="18"/>
      <c r="B183" s="21"/>
      <c r="C183" s="20"/>
    </row>
    <row r="184" spans="1:3" ht="12.75">
      <c r="A184" s="18"/>
      <c r="B184" s="21"/>
      <c r="C184" s="20"/>
    </row>
    <row r="185" spans="1:3" ht="12.75">
      <c r="A185" s="18"/>
      <c r="B185" s="22"/>
      <c r="C185" s="23"/>
    </row>
    <row r="186" spans="1:3" ht="12.75">
      <c r="A186" s="18"/>
      <c r="B186" s="22"/>
      <c r="C186" s="23"/>
    </row>
    <row r="187" spans="1:3" ht="12.75">
      <c r="A187" s="24"/>
      <c r="B187" s="22"/>
      <c r="C187" s="20"/>
    </row>
    <row r="188" spans="1:3" ht="12.75">
      <c r="A188" s="24"/>
      <c r="B188" s="30"/>
      <c r="C188" s="20"/>
    </row>
    <row r="189" spans="1:3" ht="12.75">
      <c r="A189" s="18"/>
      <c r="B189" s="30"/>
      <c r="C189" s="20"/>
    </row>
    <row r="190" spans="1:3" ht="12.75">
      <c r="A190" s="18"/>
      <c r="B190" s="30"/>
      <c r="C190" s="20"/>
    </row>
    <row r="191" spans="1:3" ht="12.75">
      <c r="A191" s="18"/>
      <c r="B191" s="30"/>
      <c r="C191" s="20"/>
    </row>
    <row r="192" spans="1:3" ht="12.75">
      <c r="A192" s="18"/>
      <c r="B192" s="31"/>
      <c r="C192" s="20"/>
    </row>
    <row r="193" spans="1:3" ht="12.75">
      <c r="A193" s="18"/>
      <c r="B193" s="22"/>
      <c r="C193" s="23"/>
    </row>
    <row r="194" spans="1:3" ht="12.75">
      <c r="A194" s="18"/>
      <c r="B194" s="31"/>
      <c r="C194" s="20"/>
    </row>
    <row r="195" spans="1:3" ht="12.75">
      <c r="A195" s="24"/>
      <c r="B195" s="22"/>
      <c r="C195" s="20"/>
    </row>
    <row r="196" spans="1:3" ht="12.75">
      <c r="A196" s="24"/>
      <c r="B196" s="22"/>
      <c r="C196" s="20"/>
    </row>
    <row r="197" spans="1:3" ht="12.75">
      <c r="A197" s="18"/>
      <c r="B197" s="30"/>
      <c r="C197" s="20"/>
    </row>
    <row r="198" spans="1:3" ht="12.75">
      <c r="A198" s="18"/>
      <c r="B198" s="30"/>
      <c r="C198" s="20"/>
    </row>
    <row r="199" spans="1:3" ht="12.75">
      <c r="A199" s="18"/>
      <c r="B199" s="30"/>
      <c r="C199" s="20"/>
    </row>
    <row r="200" spans="1:3" ht="12.75">
      <c r="A200" s="18"/>
      <c r="B200" s="30"/>
      <c r="C200" s="20"/>
    </row>
    <row r="201" spans="1:3" ht="12.75">
      <c r="A201" s="18"/>
      <c r="B201" s="21"/>
      <c r="C201" s="20"/>
    </row>
    <row r="202" spans="1:3" ht="12.75">
      <c r="A202" s="18"/>
      <c r="B202" s="22"/>
      <c r="C202" s="23"/>
    </row>
    <row r="203" spans="1:3" ht="12.75">
      <c r="A203" s="18"/>
      <c r="B203" s="21"/>
      <c r="C203" s="20"/>
    </row>
    <row r="204" spans="1:3" ht="12.75">
      <c r="A204" s="24"/>
      <c r="B204" s="32"/>
      <c r="C204" s="20"/>
    </row>
    <row r="205" spans="1:3" ht="12.75">
      <c r="A205" s="24"/>
      <c r="B205" s="33"/>
      <c r="C205" s="20"/>
    </row>
    <row r="206" spans="1:3" ht="12.75">
      <c r="A206" s="18"/>
      <c r="B206" s="30"/>
      <c r="C206" s="20"/>
    </row>
    <row r="207" spans="1:3" ht="12.75">
      <c r="A207" s="18"/>
      <c r="B207" s="30"/>
      <c r="C207" s="20"/>
    </row>
    <row r="208" spans="1:3" ht="12.75">
      <c r="A208" s="18"/>
      <c r="B208" s="30"/>
      <c r="C208" s="20"/>
    </row>
    <row r="209" spans="1:3" ht="12.75">
      <c r="A209" s="18"/>
      <c r="B209" s="30"/>
      <c r="C209" s="20"/>
    </row>
    <row r="210" spans="1:3" ht="12.75">
      <c r="A210" s="18"/>
      <c r="B210" s="30"/>
      <c r="C210" s="20"/>
    </row>
    <row r="211" spans="1:3" ht="12.75">
      <c r="A211" s="18"/>
      <c r="B211" s="30"/>
      <c r="C211" s="20"/>
    </row>
    <row r="212" spans="1:3" ht="12.75">
      <c r="A212" s="18"/>
      <c r="B212" s="30"/>
      <c r="C212" s="20"/>
    </row>
    <row r="213" spans="1:3" ht="12.75">
      <c r="A213" s="18"/>
      <c r="B213" s="30"/>
      <c r="C213" s="20"/>
    </row>
    <row r="214" spans="1:3" ht="12.75">
      <c r="A214" s="18"/>
      <c r="B214" s="21"/>
      <c r="C214" s="20"/>
    </row>
    <row r="215" spans="1:3" ht="12.75">
      <c r="A215" s="18"/>
      <c r="B215" s="22"/>
      <c r="C215" s="23"/>
    </row>
    <row r="216" spans="1:3" ht="12.75">
      <c r="A216" s="18"/>
      <c r="B216" s="22"/>
      <c r="C216" s="23"/>
    </row>
    <row r="217" spans="1:3" ht="12.75">
      <c r="A217" s="24"/>
      <c r="B217" s="22"/>
      <c r="C217" s="20"/>
    </row>
    <row r="218" spans="1:3" ht="12.75">
      <c r="A218" s="24"/>
      <c r="B218" s="22"/>
      <c r="C218" s="20"/>
    </row>
    <row r="219" spans="1:3" ht="12.75">
      <c r="A219" s="18"/>
      <c r="B219" s="21"/>
      <c r="C219" s="20"/>
    </row>
    <row r="220" spans="1:3" ht="12.75">
      <c r="A220" s="18"/>
      <c r="B220" s="21"/>
      <c r="C220" s="20"/>
    </row>
    <row r="221" spans="1:3" ht="12.75">
      <c r="A221" s="18"/>
      <c r="B221" s="21"/>
      <c r="C221" s="20"/>
    </row>
    <row r="222" spans="1:3" ht="12.75">
      <c r="A222" s="18"/>
      <c r="B222" s="21"/>
      <c r="C222" s="20"/>
    </row>
    <row r="223" spans="1:3" ht="12.75">
      <c r="A223" s="18"/>
      <c r="B223" s="30"/>
      <c r="C223" s="20"/>
    </row>
    <row r="224" spans="1:3" ht="12.75">
      <c r="A224" s="18"/>
      <c r="B224" s="30"/>
      <c r="C224" s="20"/>
    </row>
    <row r="225" spans="1:3" ht="12.75">
      <c r="A225" s="18"/>
      <c r="B225" s="30"/>
      <c r="C225" s="20"/>
    </row>
    <row r="226" spans="1:3" ht="12.75">
      <c r="A226" s="24"/>
      <c r="B226" s="22"/>
      <c r="C226" s="20"/>
    </row>
    <row r="227" spans="1:3" ht="12.75">
      <c r="A227" s="24"/>
      <c r="B227" s="22"/>
      <c r="C227" s="23"/>
    </row>
    <row r="228" spans="1:3" ht="12.75">
      <c r="A228" s="34"/>
      <c r="B228" s="22"/>
      <c r="C228" s="23"/>
    </row>
    <row r="229" spans="1:3" ht="15.75">
      <c r="A229" s="35"/>
      <c r="B229" s="27"/>
      <c r="C229" s="28"/>
    </row>
    <row r="230" spans="1:3" ht="15.75">
      <c r="A230" s="35"/>
      <c r="B230" s="27"/>
      <c r="C230" s="28"/>
    </row>
    <row r="231" spans="1:3" ht="15.75">
      <c r="A231" s="35"/>
      <c r="B231" s="27"/>
      <c r="C231" s="28"/>
    </row>
    <row r="232" spans="1:3" ht="15.75">
      <c r="A232" s="36"/>
      <c r="B232" s="27"/>
      <c r="C232" s="28"/>
    </row>
    <row r="233" spans="1:3" ht="15.75">
      <c r="A233" s="36"/>
      <c r="B233" s="27"/>
      <c r="C233" s="28"/>
    </row>
    <row r="234" spans="1:3" ht="15.75">
      <c r="A234" s="37"/>
      <c r="B234" s="22"/>
      <c r="C234" s="28"/>
    </row>
    <row r="235" spans="1:3" ht="15.75">
      <c r="A235" s="37"/>
      <c r="B235" s="22"/>
      <c r="C235" s="28"/>
    </row>
    <row r="236" spans="1:3" ht="15.75">
      <c r="A236" s="38"/>
      <c r="B236" s="39"/>
      <c r="C236" s="28"/>
    </row>
    <row r="237" spans="1:3" ht="15.75">
      <c r="A237" s="37"/>
      <c r="B237" s="27"/>
      <c r="C237" s="28"/>
    </row>
    <row r="238" spans="1:3" ht="12.75">
      <c r="A238" s="35"/>
      <c r="B238" s="21"/>
      <c r="C238" s="20"/>
    </row>
    <row r="239" spans="1:3" ht="12.75">
      <c r="A239" s="35"/>
      <c r="B239" s="21"/>
      <c r="C239" s="20"/>
    </row>
    <row r="240" spans="1:3" ht="12.75">
      <c r="A240" s="35"/>
      <c r="B240" s="21"/>
      <c r="C240" s="20"/>
    </row>
    <row r="241" spans="1:3" ht="12.75">
      <c r="A241" s="35"/>
      <c r="B241" s="21"/>
      <c r="C241" s="20"/>
    </row>
    <row r="242" spans="1:3" ht="12.75">
      <c r="A242" s="35"/>
      <c r="B242" s="21"/>
      <c r="C242" s="20"/>
    </row>
    <row r="243" spans="1:3" ht="12.75">
      <c r="A243" s="35"/>
      <c r="B243" s="19"/>
      <c r="C243" s="25"/>
    </row>
    <row r="244" spans="1:3" ht="12.75">
      <c r="A244" s="35"/>
      <c r="B244" s="21"/>
      <c r="C244" s="25"/>
    </row>
    <row r="245" spans="1:3" ht="12.75">
      <c r="A245" s="35"/>
      <c r="B245" s="21"/>
      <c r="C245" s="20"/>
    </row>
    <row r="246" spans="1:3" ht="12.75">
      <c r="A246" s="35"/>
      <c r="B246" s="21"/>
      <c r="C246" s="20"/>
    </row>
    <row r="247" spans="1:3" ht="12.75">
      <c r="A247" s="35"/>
      <c r="B247" s="21"/>
      <c r="C247" s="20"/>
    </row>
    <row r="248" spans="1:3" ht="12.75">
      <c r="A248" s="35"/>
      <c r="B248" s="21"/>
      <c r="C248" s="20"/>
    </row>
    <row r="249" spans="1:3" ht="12.75">
      <c r="A249" s="35"/>
      <c r="B249" s="30"/>
      <c r="C249" s="20"/>
    </row>
    <row r="250" spans="1:3" ht="12.75">
      <c r="A250" s="40"/>
      <c r="B250" s="21"/>
      <c r="C250" s="20"/>
    </row>
    <row r="251" spans="1:3" ht="12.75">
      <c r="A251" s="40"/>
      <c r="B251" s="21"/>
      <c r="C251" s="20"/>
    </row>
    <row r="252" spans="1:3" ht="12.75">
      <c r="A252" s="35"/>
      <c r="B252" s="22"/>
      <c r="C252" s="23"/>
    </row>
    <row r="253" spans="1:3" ht="15.75">
      <c r="A253" s="35"/>
      <c r="B253" s="27"/>
      <c r="C253" s="28"/>
    </row>
    <row r="254" spans="1:3" ht="15.75">
      <c r="A254" s="37"/>
      <c r="B254" s="39"/>
      <c r="C254" s="28"/>
    </row>
    <row r="255" spans="1:3" ht="15.75">
      <c r="A255" s="35"/>
      <c r="B255" s="19"/>
      <c r="C255" s="28"/>
    </row>
    <row r="256" spans="1:3" ht="12.75">
      <c r="A256" s="35"/>
      <c r="B256" s="19"/>
      <c r="C256" s="20"/>
    </row>
    <row r="257" spans="1:3" ht="12.75">
      <c r="A257" s="35"/>
      <c r="B257" s="19"/>
      <c r="C257" s="20"/>
    </row>
    <row r="258" spans="1:3" ht="12.75">
      <c r="A258" s="41"/>
      <c r="B258" s="19"/>
      <c r="C258" s="20"/>
    </row>
    <row r="259" spans="1:3" ht="12.75">
      <c r="A259" s="35"/>
      <c r="B259" s="21"/>
      <c r="C259" s="20"/>
    </row>
    <row r="260" spans="1:3" ht="12.75">
      <c r="A260" s="35"/>
      <c r="B260" s="21"/>
      <c r="C260" s="20"/>
    </row>
    <row r="261" spans="1:3" ht="12.75">
      <c r="A261" s="35"/>
      <c r="B261" s="21"/>
      <c r="C261" s="20"/>
    </row>
    <row r="262" spans="1:3" ht="12.75">
      <c r="A262" s="40"/>
      <c r="B262" s="19"/>
      <c r="C262" s="20"/>
    </row>
    <row r="263" spans="1:3" ht="12.75">
      <c r="A263" s="35"/>
      <c r="B263" s="21"/>
      <c r="C263" s="20"/>
    </row>
    <row r="264" spans="1:3" ht="12.75">
      <c r="A264" s="35"/>
      <c r="B264" s="21"/>
      <c r="C264" s="20"/>
    </row>
    <row r="265" spans="1:3" ht="12.75">
      <c r="A265" s="35"/>
      <c r="B265" s="21"/>
      <c r="C265" s="20"/>
    </row>
    <row r="266" spans="1:3" ht="12.75">
      <c r="A266" s="35"/>
      <c r="B266" s="21"/>
      <c r="C266" s="20"/>
    </row>
    <row r="267" spans="1:3" ht="15.75">
      <c r="A267" s="35"/>
      <c r="B267" s="21"/>
      <c r="C267" s="28"/>
    </row>
    <row r="268" spans="1:3" ht="12.75">
      <c r="A268" s="35"/>
      <c r="B268" s="22"/>
      <c r="C268" s="23"/>
    </row>
    <row r="269" spans="1:3" ht="12.75">
      <c r="A269" s="41"/>
      <c r="B269" s="22"/>
      <c r="C269" s="20"/>
    </row>
    <row r="270" spans="1:3" ht="12.75">
      <c r="A270" s="42"/>
      <c r="B270" s="22"/>
      <c r="C270" s="20"/>
    </row>
    <row r="271" spans="1:3" ht="12.75">
      <c r="A271" s="42"/>
      <c r="B271" s="22"/>
      <c r="C271" s="20"/>
    </row>
    <row r="272" spans="1:3" ht="12.75">
      <c r="A272" s="41"/>
      <c r="B272" s="21"/>
      <c r="C272" s="20"/>
    </row>
    <row r="273" spans="1:3" ht="12.75">
      <c r="A273" s="41"/>
      <c r="B273" s="21"/>
      <c r="C273" s="20"/>
    </row>
    <row r="274" spans="1:3" ht="12.75">
      <c r="A274" s="41"/>
      <c r="B274" s="21"/>
      <c r="C274" s="20"/>
    </row>
    <row r="275" spans="1:3" ht="12.75">
      <c r="A275" s="41"/>
      <c r="B275" s="21"/>
      <c r="C275" s="20"/>
    </row>
    <row r="276" spans="1:3" ht="12.75">
      <c r="A276" s="41"/>
      <c r="B276" s="21"/>
      <c r="C276" s="20"/>
    </row>
    <row r="277" spans="1:3" ht="12.75">
      <c r="A277" s="41"/>
      <c r="B277" s="21"/>
      <c r="C277" s="20"/>
    </row>
    <row r="278" spans="1:3" ht="12.75">
      <c r="A278" s="41"/>
      <c r="B278" s="21"/>
      <c r="C278" s="20"/>
    </row>
    <row r="279" spans="1:3" ht="12.75">
      <c r="A279" s="41"/>
      <c r="B279" s="22"/>
      <c r="C279" s="20"/>
    </row>
    <row r="280" spans="1:3" ht="12.75">
      <c r="A280" s="41"/>
      <c r="B280" s="22"/>
      <c r="C280" s="23"/>
    </row>
    <row r="281" spans="1:3" ht="12.75">
      <c r="A281" s="41"/>
      <c r="B281" s="22"/>
      <c r="C281" s="20"/>
    </row>
    <row r="282" spans="1:3" ht="12.75">
      <c r="A282" s="42"/>
      <c r="B282" s="22"/>
      <c r="C282" s="20"/>
    </row>
    <row r="283" spans="1:3" ht="12.75">
      <c r="A283" s="41"/>
      <c r="B283" s="19"/>
      <c r="C283" s="25"/>
    </row>
    <row r="284" spans="1:3" ht="12.75">
      <c r="A284" s="41"/>
      <c r="B284" s="21"/>
      <c r="C284" s="20"/>
    </row>
    <row r="285" spans="1:3" ht="12.75">
      <c r="A285" s="41"/>
      <c r="B285" s="21"/>
      <c r="C285" s="20"/>
    </row>
    <row r="286" spans="1:3" ht="12.75">
      <c r="A286" s="41"/>
      <c r="B286" s="21"/>
      <c r="C286" s="20"/>
    </row>
    <row r="287" spans="1:3" ht="12.75">
      <c r="A287" s="41"/>
      <c r="B287" s="21"/>
      <c r="C287" s="20"/>
    </row>
    <row r="288" spans="1:3" ht="12.75">
      <c r="A288" s="41"/>
      <c r="B288" s="21"/>
      <c r="C288" s="20"/>
    </row>
    <row r="289" spans="1:3" ht="12.75">
      <c r="A289" s="41"/>
      <c r="B289" s="21"/>
      <c r="C289" s="20"/>
    </row>
    <row r="290" spans="1:3" ht="12.75">
      <c r="A290" s="41"/>
      <c r="B290" s="22"/>
      <c r="C290" s="20"/>
    </row>
    <row r="291" spans="1:3" ht="12.75">
      <c r="A291" s="41"/>
      <c r="B291" s="22"/>
      <c r="C291" s="23"/>
    </row>
    <row r="292" spans="1:3" ht="12.75">
      <c r="A292" s="41"/>
      <c r="B292" s="22"/>
      <c r="C292" s="23"/>
    </row>
    <row r="293" spans="1:3" ht="12.75">
      <c r="A293" s="42"/>
      <c r="B293" s="22"/>
      <c r="C293" s="20"/>
    </row>
    <row r="294" spans="1:3" ht="12.75">
      <c r="A294" s="42"/>
      <c r="B294" s="22"/>
      <c r="C294" s="20"/>
    </row>
    <row r="295" spans="1:3" ht="12.75">
      <c r="A295" s="41"/>
      <c r="B295" s="19"/>
      <c r="C295" s="25"/>
    </row>
    <row r="296" spans="1:3" ht="12.75">
      <c r="A296" s="41"/>
      <c r="B296" s="21"/>
      <c r="C296" s="20"/>
    </row>
    <row r="297" spans="1:3" ht="12.75">
      <c r="A297" s="41"/>
      <c r="B297" s="21"/>
      <c r="C297" s="20"/>
    </row>
    <row r="298" spans="1:3" ht="12.75">
      <c r="A298" s="41"/>
      <c r="B298" s="21"/>
      <c r="C298" s="25"/>
    </row>
    <row r="299" spans="1:3" ht="12.75">
      <c r="A299" s="41"/>
      <c r="B299" s="21"/>
      <c r="C299" s="25"/>
    </row>
    <row r="300" spans="1:3" ht="12.75">
      <c r="A300" s="41"/>
      <c r="B300" s="21"/>
      <c r="C300" s="25"/>
    </row>
    <row r="301" spans="1:3" ht="12.75">
      <c r="A301" s="41"/>
      <c r="B301" s="21"/>
      <c r="C301" s="25"/>
    </row>
    <row r="302" spans="1:3" ht="12.75">
      <c r="A302" s="41"/>
      <c r="B302" s="22"/>
      <c r="C302" s="20"/>
    </row>
    <row r="303" spans="1:3" ht="12.75">
      <c r="A303" s="41"/>
      <c r="B303" s="22"/>
      <c r="C303" s="23"/>
    </row>
    <row r="304" spans="1:3" ht="12.75">
      <c r="A304" s="41"/>
      <c r="B304" s="21"/>
      <c r="C304" s="20"/>
    </row>
    <row r="305" spans="1:3" ht="12.75">
      <c r="A305" s="42"/>
      <c r="B305" s="22"/>
      <c r="C305" s="20"/>
    </row>
    <row r="306" spans="1:3" ht="12.75">
      <c r="A306" s="41"/>
      <c r="B306" s="22"/>
      <c r="C306" s="20"/>
    </row>
    <row r="307" spans="1:3" ht="12.75">
      <c r="A307" s="41"/>
      <c r="B307" s="21"/>
      <c r="C307" s="20"/>
    </row>
    <row r="308" spans="1:3" ht="12.75">
      <c r="A308" s="41"/>
      <c r="B308" s="21"/>
      <c r="C308" s="25"/>
    </row>
    <row r="309" spans="1:3" ht="12.75">
      <c r="A309" s="41"/>
      <c r="B309" s="21"/>
      <c r="C309" s="20"/>
    </row>
    <row r="310" spans="1:3" ht="12.75">
      <c r="A310" s="41"/>
      <c r="B310" s="21"/>
      <c r="C310" s="20"/>
    </row>
    <row r="311" spans="1:3" ht="12.75">
      <c r="A311" s="41"/>
      <c r="B311" s="21"/>
      <c r="C311" s="20"/>
    </row>
    <row r="312" spans="1:3" ht="12.75">
      <c r="A312" s="41"/>
      <c r="B312" s="21"/>
      <c r="C312" s="20"/>
    </row>
    <row r="313" spans="1:3" ht="12.75">
      <c r="A313" s="41"/>
      <c r="B313" s="22"/>
      <c r="C313" s="20"/>
    </row>
    <row r="314" spans="1:3" ht="12.75">
      <c r="A314" s="41"/>
      <c r="B314" s="22"/>
      <c r="C314" s="23"/>
    </row>
    <row r="315" spans="1:3" ht="12.75">
      <c r="A315" s="41"/>
      <c r="B315" s="22"/>
      <c r="C315" s="20"/>
    </row>
    <row r="316" spans="1:3" ht="12.75">
      <c r="A316" s="42"/>
      <c r="B316" s="22"/>
      <c r="C316" s="20"/>
    </row>
    <row r="317" spans="1:3" ht="12.75">
      <c r="A317" s="42"/>
      <c r="B317" s="22"/>
      <c r="C317" s="20"/>
    </row>
    <row r="318" spans="1:3" ht="12.75">
      <c r="A318" s="41"/>
      <c r="B318" s="21"/>
      <c r="C318" s="20"/>
    </row>
    <row r="319" spans="1:3" ht="12.75">
      <c r="A319" s="41"/>
      <c r="B319" s="21"/>
      <c r="C319" s="20"/>
    </row>
    <row r="320" spans="1:3" ht="12.75">
      <c r="A320" s="41"/>
      <c r="B320" s="21"/>
      <c r="C320" s="20"/>
    </row>
    <row r="321" spans="1:3" ht="12.75">
      <c r="A321" s="41"/>
      <c r="B321" s="21"/>
      <c r="C321" s="20"/>
    </row>
    <row r="322" spans="1:3" ht="12.75">
      <c r="A322" s="41"/>
      <c r="B322" s="21"/>
      <c r="C322" s="20"/>
    </row>
    <row r="323" spans="1:3" ht="12.75">
      <c r="A323" s="41"/>
      <c r="B323" s="21"/>
      <c r="C323" s="20"/>
    </row>
    <row r="324" spans="1:3" ht="12.75">
      <c r="A324" s="41"/>
      <c r="B324" s="21"/>
      <c r="C324" s="20"/>
    </row>
    <row r="325" spans="1:3" ht="12.75">
      <c r="A325" s="41"/>
      <c r="B325" s="43"/>
      <c r="C325" s="20"/>
    </row>
    <row r="326" spans="1:3" ht="12.75">
      <c r="A326" s="41"/>
      <c r="B326" s="22"/>
      <c r="C326" s="23"/>
    </row>
    <row r="327" spans="1:3" ht="12.75">
      <c r="A327" s="41"/>
      <c r="B327" s="22"/>
      <c r="C327" s="20"/>
    </row>
    <row r="328" spans="1:3" ht="12.75">
      <c r="A328" s="42"/>
      <c r="B328" s="22"/>
      <c r="C328" s="20"/>
    </row>
    <row r="329" spans="1:3" ht="12.75">
      <c r="A329" s="42"/>
      <c r="B329" s="22"/>
      <c r="C329" s="20"/>
    </row>
    <row r="330" spans="1:3" ht="12.75">
      <c r="A330" s="41"/>
      <c r="B330" s="21"/>
      <c r="C330" s="20"/>
    </row>
    <row r="331" spans="1:3" ht="12.75">
      <c r="A331" s="41"/>
      <c r="B331" s="44"/>
      <c r="C331" s="20"/>
    </row>
    <row r="332" spans="1:3" ht="12.75">
      <c r="A332" s="41"/>
      <c r="B332" s="21"/>
      <c r="C332" s="20"/>
    </row>
    <row r="333" spans="1:3" ht="12.75">
      <c r="A333" s="41"/>
      <c r="B333" s="21"/>
      <c r="C333" s="20"/>
    </row>
    <row r="334" spans="1:3" ht="12.75">
      <c r="A334" s="41"/>
      <c r="B334" s="21"/>
      <c r="C334" s="20"/>
    </row>
    <row r="335" spans="1:3" ht="12.75">
      <c r="A335" s="41"/>
      <c r="B335" s="21"/>
      <c r="C335" s="20"/>
    </row>
    <row r="336" spans="1:3" ht="12.75">
      <c r="A336" s="41"/>
      <c r="B336" s="21"/>
      <c r="C336" s="20"/>
    </row>
    <row r="337" spans="1:3" ht="12.75">
      <c r="A337" s="41"/>
      <c r="B337" s="22"/>
      <c r="C337" s="20"/>
    </row>
    <row r="338" spans="1:3" ht="12.75">
      <c r="A338" s="41"/>
      <c r="B338" s="22"/>
      <c r="C338" s="23"/>
    </row>
    <row r="339" spans="1:3" ht="12.75">
      <c r="A339" s="41"/>
      <c r="B339" s="22"/>
      <c r="C339" s="23"/>
    </row>
    <row r="340" spans="1:3" ht="12.75">
      <c r="A340" s="41"/>
      <c r="B340" s="22"/>
      <c r="C340" s="23"/>
    </row>
    <row r="341" spans="1:3" ht="12.75">
      <c r="A341" s="42"/>
      <c r="B341" s="22"/>
      <c r="C341" s="23"/>
    </row>
    <row r="342" spans="1:3" ht="12.75">
      <c r="A342" s="42"/>
      <c r="B342" s="22"/>
      <c r="C342" s="23"/>
    </row>
    <row r="343" spans="1:3" ht="12.75">
      <c r="A343" s="41"/>
      <c r="B343" s="21"/>
      <c r="C343" s="20"/>
    </row>
    <row r="344" spans="1:3" ht="12.75">
      <c r="A344" s="41"/>
      <c r="B344" s="21"/>
      <c r="C344" s="20"/>
    </row>
    <row r="345" spans="1:3" ht="12.75">
      <c r="A345" s="41"/>
      <c r="B345" s="21"/>
      <c r="C345" s="20"/>
    </row>
    <row r="346" spans="1:3" ht="12.75">
      <c r="A346" s="41"/>
      <c r="B346" s="21"/>
      <c r="C346" s="20"/>
    </row>
    <row r="347" spans="1:3" ht="12.75">
      <c r="A347" s="41"/>
      <c r="B347" s="21"/>
      <c r="C347" s="20"/>
    </row>
    <row r="348" spans="1:3" ht="12.75">
      <c r="A348" s="41"/>
      <c r="B348" s="21"/>
      <c r="C348" s="20"/>
    </row>
    <row r="349" spans="1:3" ht="12.75">
      <c r="A349" s="41"/>
      <c r="B349" s="22"/>
      <c r="C349" s="23"/>
    </row>
    <row r="350" spans="1:3" ht="12.75">
      <c r="A350" s="41"/>
      <c r="B350" s="22"/>
      <c r="C350" s="23"/>
    </row>
    <row r="351" spans="1:3" ht="12.75">
      <c r="A351" s="41"/>
      <c r="B351" s="22"/>
      <c r="C351" s="23"/>
    </row>
    <row r="352" spans="1:3" ht="15.75">
      <c r="A352" s="42"/>
      <c r="B352" s="22"/>
      <c r="C352" s="28"/>
    </row>
    <row r="353" spans="1:3" ht="15.75">
      <c r="A353" s="41"/>
      <c r="B353" s="22"/>
      <c r="C353" s="28"/>
    </row>
    <row r="354" spans="1:3" ht="12.75">
      <c r="A354" s="41"/>
      <c r="B354" s="44"/>
      <c r="C354" s="20"/>
    </row>
    <row r="355" spans="1:3" ht="12.75">
      <c r="A355" s="41"/>
      <c r="B355" s="21"/>
      <c r="C355" s="20"/>
    </row>
    <row r="356" spans="1:3" ht="12.75">
      <c r="A356" s="41"/>
      <c r="B356" s="21"/>
      <c r="C356" s="20"/>
    </row>
    <row r="357" spans="1:3" ht="12.75">
      <c r="A357" s="41"/>
      <c r="B357" s="21"/>
      <c r="C357" s="20"/>
    </row>
    <row r="358" spans="1:3" ht="12.75">
      <c r="A358" s="41"/>
      <c r="B358" s="21"/>
      <c r="C358" s="20"/>
    </row>
    <row r="359" spans="1:3" ht="12.75">
      <c r="A359" s="41"/>
      <c r="B359" s="21"/>
      <c r="C359" s="20"/>
    </row>
    <row r="360" spans="1:3" ht="12.75">
      <c r="A360" s="41"/>
      <c r="B360" s="21"/>
      <c r="C360" s="20"/>
    </row>
    <row r="361" spans="1:3" ht="12.75">
      <c r="A361" s="41"/>
      <c r="B361" s="21"/>
      <c r="C361" s="20"/>
    </row>
    <row r="362" spans="1:3" ht="12.75">
      <c r="A362" s="18"/>
      <c r="B362" s="21"/>
      <c r="C362" s="20"/>
    </row>
    <row r="363" spans="1:3" ht="12.75">
      <c r="A363" s="18"/>
      <c r="B363" s="22"/>
      <c r="C363" s="23"/>
    </row>
    <row r="364" spans="1:3" ht="12.75">
      <c r="A364" s="41"/>
      <c r="B364" s="22"/>
      <c r="C364" s="23"/>
    </row>
    <row r="365" spans="1:3" ht="12.75">
      <c r="A365" s="41"/>
      <c r="B365" s="22"/>
      <c r="C365" s="23"/>
    </row>
    <row r="366" spans="1:3" ht="12.75">
      <c r="A366" s="41"/>
      <c r="B366" s="22"/>
      <c r="C366" s="20"/>
    </row>
    <row r="367" spans="1:3" ht="12.75">
      <c r="A367" s="42"/>
      <c r="B367" s="22"/>
      <c r="C367" s="23"/>
    </row>
    <row r="368" spans="1:3" ht="12.75">
      <c r="A368" s="41"/>
      <c r="B368" s="22"/>
      <c r="C368" s="23"/>
    </row>
    <row r="369" spans="1:3" ht="12.75">
      <c r="A369" s="41"/>
      <c r="B369" s="21"/>
      <c r="C369" s="20"/>
    </row>
    <row r="370" spans="1:3" ht="12.75">
      <c r="A370" s="41"/>
      <c r="B370" s="21"/>
      <c r="C370" s="20"/>
    </row>
    <row r="371" spans="1:3" ht="12.75">
      <c r="A371" s="41"/>
      <c r="B371" s="21"/>
      <c r="C371" s="20"/>
    </row>
    <row r="372" spans="1:3" ht="12.75">
      <c r="A372" s="41"/>
      <c r="B372" s="21"/>
      <c r="C372" s="20"/>
    </row>
    <row r="373" spans="1:3" ht="12.75">
      <c r="A373" s="41"/>
      <c r="B373" s="21"/>
      <c r="C373" s="20"/>
    </row>
    <row r="374" spans="1:3" ht="12.75">
      <c r="A374" s="41"/>
      <c r="B374" s="21"/>
      <c r="C374" s="20"/>
    </row>
    <row r="375" spans="1:3" ht="12.75">
      <c r="A375" s="41"/>
      <c r="B375" s="21"/>
      <c r="C375" s="23"/>
    </row>
    <row r="376" spans="1:3" ht="12.75">
      <c r="A376" s="41"/>
      <c r="B376" s="22"/>
      <c r="C376" s="23"/>
    </row>
    <row r="377" spans="1:3" ht="12.75">
      <c r="A377" s="41"/>
      <c r="B377" s="22"/>
      <c r="C377" s="23"/>
    </row>
    <row r="378" spans="1:3" ht="12.75">
      <c r="A378" s="42"/>
      <c r="B378" s="22"/>
      <c r="C378" s="23"/>
    </row>
    <row r="379" spans="1:3" ht="15.75">
      <c r="A379" s="42"/>
      <c r="B379" s="22"/>
      <c r="C379" s="28"/>
    </row>
    <row r="380" spans="1:3" ht="12.75">
      <c r="A380" s="41"/>
      <c r="B380" s="21"/>
      <c r="C380" s="20"/>
    </row>
    <row r="381" spans="1:3" ht="12.75">
      <c r="A381" s="41"/>
      <c r="B381" s="21"/>
      <c r="C381" s="20"/>
    </row>
    <row r="382" spans="1:3" ht="12.75">
      <c r="A382" s="42"/>
      <c r="B382" s="22"/>
      <c r="C382" s="20"/>
    </row>
    <row r="383" spans="1:3" ht="12.75">
      <c r="A383" s="41"/>
      <c r="B383" s="22"/>
      <c r="C383" s="23"/>
    </row>
    <row r="384" spans="1:3" ht="15.75">
      <c r="A384" s="41"/>
      <c r="B384" s="22"/>
      <c r="C384" s="28"/>
    </row>
    <row r="385" spans="1:3" ht="15.75">
      <c r="A385" s="41"/>
      <c r="B385" s="27"/>
      <c r="C385" s="28"/>
    </row>
    <row r="386" spans="1:3" ht="15.75">
      <c r="A386" s="41"/>
      <c r="B386" s="27"/>
      <c r="C386" s="28"/>
    </row>
    <row r="387" spans="1:3" ht="15.75">
      <c r="A387" s="42"/>
      <c r="B387" s="27"/>
      <c r="C387" s="28"/>
    </row>
    <row r="388" spans="1:3" ht="15.75">
      <c r="A388" s="42"/>
      <c r="B388" s="27"/>
      <c r="C388" s="28"/>
    </row>
    <row r="389" spans="1:3" ht="12.75">
      <c r="A389" s="41"/>
      <c r="B389" s="21"/>
      <c r="C389" s="20"/>
    </row>
    <row r="390" spans="1:3" ht="12.75">
      <c r="A390" s="41"/>
      <c r="B390" s="21"/>
      <c r="C390" s="20"/>
    </row>
    <row r="391" spans="1:3" ht="12.75">
      <c r="A391" s="41"/>
      <c r="B391" s="21"/>
      <c r="C391" s="20"/>
    </row>
    <row r="392" spans="1:3" ht="12.75">
      <c r="A392" s="41"/>
      <c r="B392" s="21"/>
      <c r="C392" s="20"/>
    </row>
    <row r="393" spans="1:3" ht="12.75">
      <c r="A393" s="41"/>
      <c r="B393" s="21"/>
      <c r="C393" s="20"/>
    </row>
    <row r="394" spans="1:3" ht="12.75">
      <c r="A394" s="41"/>
      <c r="B394" s="21"/>
      <c r="C394" s="20"/>
    </row>
    <row r="395" spans="1:3" ht="15.75">
      <c r="A395" s="41"/>
      <c r="B395" s="27"/>
      <c r="C395" s="28"/>
    </row>
    <row r="396" spans="1:3" ht="15.75">
      <c r="A396" s="41"/>
      <c r="B396" s="27"/>
      <c r="C396" s="28"/>
    </row>
    <row r="397" spans="1:3" ht="15.75">
      <c r="A397" s="41"/>
      <c r="B397" s="27"/>
      <c r="C397" s="20"/>
    </row>
    <row r="398" spans="1:3" ht="15.75">
      <c r="A398" s="45"/>
      <c r="B398" s="27"/>
      <c r="C398" s="20"/>
    </row>
    <row r="399" spans="1:3" ht="15.75">
      <c r="A399" s="45"/>
      <c r="B399" s="27"/>
      <c r="C399" s="20"/>
    </row>
    <row r="400" spans="1:3" ht="12.75">
      <c r="A400" s="42"/>
      <c r="B400" s="22"/>
      <c r="C400" s="20"/>
    </row>
    <row r="401" spans="1:3" ht="12.75">
      <c r="A401" s="42"/>
      <c r="B401" s="22"/>
      <c r="C401" s="20"/>
    </row>
    <row r="402" spans="1:3" ht="12.75">
      <c r="A402" s="41"/>
      <c r="B402" s="21"/>
      <c r="C402" s="20"/>
    </row>
    <row r="403" spans="1:3" ht="12.75">
      <c r="A403" s="41"/>
      <c r="B403" s="21"/>
      <c r="C403" s="20"/>
    </row>
    <row r="404" spans="1:3" ht="12.75">
      <c r="A404" s="42"/>
      <c r="B404" s="22"/>
      <c r="C404" s="20"/>
    </row>
    <row r="405" spans="1:3" ht="12.75">
      <c r="A405" s="42"/>
      <c r="B405" s="22"/>
      <c r="C405" s="23"/>
    </row>
    <row r="406" spans="1:3" ht="12.75">
      <c r="A406" s="42"/>
      <c r="B406" s="22"/>
      <c r="C406" s="20"/>
    </row>
    <row r="407" spans="1:3" ht="12.75">
      <c r="A407" s="42"/>
      <c r="B407" s="22"/>
      <c r="C407" s="20"/>
    </row>
    <row r="408" spans="1:3" ht="12.75">
      <c r="A408" s="41"/>
      <c r="B408" s="21"/>
      <c r="C408" s="20"/>
    </row>
    <row r="409" spans="1:3" ht="12.75">
      <c r="A409" s="41"/>
      <c r="B409" s="21"/>
      <c r="C409" s="20"/>
    </row>
    <row r="410" spans="1:3" ht="12.75">
      <c r="A410" s="41"/>
      <c r="B410" s="21"/>
      <c r="C410" s="20"/>
    </row>
    <row r="411" spans="1:3" ht="12.75">
      <c r="A411" s="41"/>
      <c r="B411" s="21"/>
      <c r="C411" s="20"/>
    </row>
    <row r="412" spans="1:3" ht="12.75">
      <c r="A412" s="41"/>
      <c r="B412" s="21"/>
      <c r="C412" s="20"/>
    </row>
    <row r="413" spans="1:3" ht="12.75">
      <c r="A413" s="41"/>
      <c r="B413" s="22"/>
      <c r="C413" s="23"/>
    </row>
    <row r="414" spans="1:3" ht="12.75">
      <c r="A414" s="41"/>
      <c r="B414" s="21"/>
      <c r="C414" s="20"/>
    </row>
    <row r="415" spans="1:3" ht="12.75">
      <c r="A415" s="42"/>
      <c r="B415" s="22"/>
      <c r="C415" s="20"/>
    </row>
    <row r="416" spans="1:3" ht="12.75">
      <c r="A416" s="42"/>
      <c r="B416" s="22"/>
      <c r="C416" s="20"/>
    </row>
    <row r="417" spans="1:3" ht="12.75">
      <c r="A417" s="41"/>
      <c r="B417" s="21"/>
      <c r="C417" s="20"/>
    </row>
    <row r="418" spans="1:3" ht="12.75">
      <c r="A418" s="41"/>
      <c r="B418" s="21"/>
      <c r="C418" s="20"/>
    </row>
    <row r="419" spans="1:3" ht="12.75">
      <c r="A419" s="41"/>
      <c r="B419" s="21"/>
      <c r="C419" s="20"/>
    </row>
    <row r="420" spans="1:3" ht="12.75">
      <c r="A420" s="41"/>
      <c r="B420" s="22"/>
      <c r="C420" s="23"/>
    </row>
    <row r="421" spans="1:3" ht="12.75">
      <c r="A421" s="41"/>
      <c r="B421" s="21"/>
      <c r="C421" s="20"/>
    </row>
    <row r="422" spans="1:3" ht="12.75">
      <c r="A422" s="42"/>
      <c r="B422" s="39"/>
      <c r="C422" s="25"/>
    </row>
    <row r="423" spans="1:3" ht="12.75">
      <c r="A423" s="42"/>
      <c r="B423" s="22"/>
      <c r="C423" s="20"/>
    </row>
    <row r="424" spans="1:3" ht="12.75">
      <c r="A424" s="41"/>
      <c r="B424" s="21"/>
      <c r="C424" s="20"/>
    </row>
    <row r="425" spans="1:3" ht="12.75">
      <c r="A425" s="41"/>
      <c r="B425" s="21"/>
      <c r="C425" s="20"/>
    </row>
    <row r="426" spans="1:3" ht="12.75">
      <c r="A426" s="41"/>
      <c r="B426" s="21"/>
      <c r="C426" s="20"/>
    </row>
    <row r="427" spans="1:3" ht="12.75">
      <c r="A427" s="41"/>
      <c r="B427" s="21"/>
      <c r="C427" s="20"/>
    </row>
    <row r="428" spans="1:3" ht="12.75">
      <c r="A428" s="41"/>
      <c r="B428" s="21"/>
      <c r="C428" s="20"/>
    </row>
    <row r="429" spans="1:3" ht="12.75">
      <c r="A429" s="41"/>
      <c r="B429" s="21"/>
      <c r="C429" s="20"/>
    </row>
    <row r="430" spans="1:3" ht="12.75">
      <c r="A430" s="41"/>
      <c r="B430" s="21"/>
      <c r="C430" s="20"/>
    </row>
    <row r="431" spans="1:3" ht="12.75">
      <c r="A431" s="41"/>
      <c r="B431" s="21"/>
      <c r="C431" s="20"/>
    </row>
    <row r="432" spans="1:3" ht="12.75">
      <c r="A432" s="41"/>
      <c r="B432" s="21"/>
      <c r="C432" s="20"/>
    </row>
    <row r="433" spans="1:3" ht="12.75">
      <c r="A433" s="41"/>
      <c r="B433" s="21"/>
      <c r="C433" s="20"/>
    </row>
    <row r="434" spans="1:3" ht="12.75">
      <c r="A434" s="41"/>
      <c r="B434" s="22"/>
      <c r="C434" s="23"/>
    </row>
    <row r="435" spans="1:3" ht="12.75">
      <c r="A435" s="41"/>
      <c r="B435" s="21"/>
      <c r="C435" s="20"/>
    </row>
    <row r="436" spans="1:3" ht="12.75">
      <c r="A436" s="42"/>
      <c r="B436" s="22"/>
      <c r="C436" s="20"/>
    </row>
    <row r="437" spans="1:3" ht="12.75">
      <c r="A437" s="42"/>
      <c r="B437" s="22"/>
      <c r="C437" s="20"/>
    </row>
    <row r="438" spans="1:3" ht="12.75">
      <c r="A438" s="41"/>
      <c r="B438" s="21"/>
      <c r="C438" s="20"/>
    </row>
    <row r="439" spans="1:3" ht="12.75">
      <c r="A439" s="41"/>
      <c r="B439" s="21"/>
      <c r="C439" s="20"/>
    </row>
    <row r="440" spans="1:3" ht="12.75">
      <c r="A440" s="41"/>
      <c r="B440" s="21"/>
      <c r="C440" s="20"/>
    </row>
    <row r="441" spans="1:3" ht="12.75">
      <c r="A441" s="41"/>
      <c r="B441" s="21"/>
      <c r="C441" s="20"/>
    </row>
    <row r="442" spans="1:3" ht="12.75">
      <c r="A442" s="41"/>
      <c r="B442" s="21"/>
      <c r="C442" s="20"/>
    </row>
    <row r="443" spans="1:3" ht="12.75">
      <c r="A443" s="41"/>
      <c r="B443" s="21"/>
      <c r="C443" s="20"/>
    </row>
    <row r="444" spans="1:3" ht="12.75">
      <c r="A444" s="41"/>
      <c r="B444" s="21"/>
      <c r="C444" s="20"/>
    </row>
    <row r="445" spans="1:3" ht="12.75">
      <c r="A445" s="41"/>
      <c r="B445" s="22"/>
      <c r="C445" s="23"/>
    </row>
    <row r="446" spans="1:3" ht="12.75">
      <c r="A446" s="41"/>
      <c r="B446" s="21"/>
      <c r="C446" s="20"/>
    </row>
    <row r="447" spans="1:3" ht="12.75">
      <c r="A447" s="42"/>
      <c r="B447" s="22"/>
      <c r="C447" s="20"/>
    </row>
    <row r="448" spans="1:3" ht="12.75">
      <c r="A448" s="42"/>
      <c r="B448" s="22"/>
      <c r="C448" s="20"/>
    </row>
    <row r="449" spans="1:3" ht="12.75">
      <c r="A449" s="41"/>
      <c r="B449" s="21"/>
      <c r="C449" s="20"/>
    </row>
    <row r="450" spans="1:3" ht="12.75">
      <c r="A450" s="41"/>
      <c r="B450" s="21"/>
      <c r="C450" s="20"/>
    </row>
    <row r="451" spans="1:3" ht="12.75">
      <c r="A451" s="41"/>
      <c r="B451" s="21"/>
      <c r="C451" s="20"/>
    </row>
    <row r="452" spans="1:3" ht="12.75">
      <c r="A452" s="41"/>
      <c r="B452" s="21"/>
      <c r="C452" s="20"/>
    </row>
    <row r="453" spans="1:3" ht="12.75">
      <c r="A453" s="41"/>
      <c r="B453" s="22"/>
      <c r="C453" s="23"/>
    </row>
    <row r="454" spans="1:3" ht="12.75">
      <c r="A454" s="41"/>
      <c r="B454" s="21"/>
      <c r="C454" s="20"/>
    </row>
    <row r="455" spans="1:3" ht="12.75">
      <c r="A455" s="42"/>
      <c r="B455" s="22"/>
      <c r="C455" s="20"/>
    </row>
    <row r="456" spans="1:3" ht="12.75">
      <c r="A456" s="42"/>
      <c r="B456" s="22"/>
      <c r="C456" s="20"/>
    </row>
    <row r="457" spans="1:3" ht="12.75">
      <c r="A457" s="41"/>
      <c r="B457" s="21"/>
      <c r="C457" s="20"/>
    </row>
    <row r="458" spans="1:3" ht="12.75">
      <c r="A458" s="41"/>
      <c r="B458" s="21"/>
      <c r="C458" s="20"/>
    </row>
    <row r="459" spans="1:3" ht="12.75">
      <c r="A459" s="41"/>
      <c r="B459" s="21"/>
      <c r="C459" s="20"/>
    </row>
    <row r="460" spans="1:3" ht="12.75">
      <c r="A460" s="41"/>
      <c r="B460" s="21"/>
      <c r="C460" s="20"/>
    </row>
    <row r="461" spans="1:3" ht="12.75">
      <c r="A461" s="41"/>
      <c r="B461" s="21"/>
      <c r="C461" s="20"/>
    </row>
    <row r="462" spans="1:3" ht="12.75">
      <c r="A462" s="41"/>
      <c r="B462" s="21"/>
      <c r="C462" s="20"/>
    </row>
    <row r="463" spans="1:3" ht="12.75">
      <c r="A463" s="41"/>
      <c r="B463" s="21"/>
      <c r="C463" s="20"/>
    </row>
    <row r="464" spans="1:3" ht="12.75">
      <c r="A464" s="41"/>
      <c r="B464" s="22"/>
      <c r="C464" s="23"/>
    </row>
    <row r="465" spans="1:3" ht="12.75">
      <c r="A465" s="41"/>
      <c r="B465" s="21"/>
      <c r="C465" s="20"/>
    </row>
    <row r="466" spans="1:3" ht="12.75">
      <c r="A466" s="42"/>
      <c r="B466" s="22"/>
      <c r="C466" s="20"/>
    </row>
    <row r="467" spans="1:3" ht="12.75">
      <c r="A467" s="42"/>
      <c r="B467" s="22"/>
      <c r="C467" s="20"/>
    </row>
    <row r="468" spans="1:3" ht="12.75">
      <c r="A468" s="41"/>
      <c r="B468" s="21"/>
      <c r="C468" s="20"/>
    </row>
    <row r="469" spans="1:3" ht="12.75">
      <c r="A469" s="41"/>
      <c r="B469" s="21"/>
      <c r="C469" s="20"/>
    </row>
    <row r="470" spans="1:3" ht="12.75">
      <c r="A470" s="41"/>
      <c r="B470" s="22"/>
      <c r="C470" s="23"/>
    </row>
    <row r="471" spans="1:3" ht="12.75">
      <c r="A471" s="41"/>
      <c r="B471" s="21"/>
      <c r="C471" s="20"/>
    </row>
    <row r="472" spans="1:3" ht="12.75">
      <c r="A472" s="42"/>
      <c r="B472" s="22"/>
      <c r="C472" s="20"/>
    </row>
    <row r="473" spans="1:3" ht="12.75">
      <c r="A473" s="41"/>
      <c r="B473" s="21"/>
      <c r="C473" s="20"/>
    </row>
    <row r="474" spans="1:3" ht="12.75">
      <c r="A474" s="41"/>
      <c r="B474" s="21"/>
      <c r="C474" s="20"/>
    </row>
    <row r="475" spans="1:3" ht="12.75">
      <c r="A475" s="41"/>
      <c r="B475" s="21"/>
      <c r="C475" s="20"/>
    </row>
    <row r="476" spans="1:3" ht="12.75">
      <c r="A476" s="41"/>
      <c r="B476" s="21"/>
      <c r="C476" s="20"/>
    </row>
    <row r="477" spans="1:3" ht="12.75">
      <c r="A477" s="41"/>
      <c r="B477" s="21"/>
      <c r="C477" s="20"/>
    </row>
    <row r="478" spans="1:3" ht="12.75">
      <c r="A478" s="41"/>
      <c r="B478" s="22"/>
      <c r="C478" s="23"/>
    </row>
    <row r="479" spans="1:3" ht="12.75">
      <c r="A479" s="41"/>
      <c r="B479" s="22"/>
      <c r="C479" s="23"/>
    </row>
    <row r="480" spans="1:3" ht="15.75">
      <c r="A480" s="41"/>
      <c r="B480" s="27"/>
      <c r="C480" s="28"/>
    </row>
    <row r="481" spans="1:3" ht="15.75">
      <c r="A481" s="41"/>
      <c r="B481" s="27"/>
      <c r="C481" s="28"/>
    </row>
    <row r="482" spans="1:3" ht="12.75">
      <c r="A482" s="41"/>
      <c r="B482" s="22"/>
      <c r="C482" s="20"/>
    </row>
    <row r="483" spans="1:3" ht="15.75">
      <c r="A483" s="45"/>
      <c r="B483" s="27"/>
      <c r="C483" s="20"/>
    </row>
    <row r="484" spans="1:3" ht="15.75">
      <c r="A484" s="45"/>
      <c r="B484" s="27"/>
      <c r="C484" s="20"/>
    </row>
    <row r="485" spans="1:3" ht="15.75">
      <c r="A485" s="38"/>
      <c r="B485" s="27"/>
      <c r="C485" s="20"/>
    </row>
    <row r="486" spans="1:3" ht="12.75">
      <c r="A486" s="40"/>
      <c r="B486" s="19"/>
      <c r="C486" s="25"/>
    </row>
    <row r="487" spans="1:3" ht="12.75">
      <c r="A487" s="40"/>
      <c r="B487" s="19"/>
      <c r="C487" s="25"/>
    </row>
    <row r="488" spans="1:3" ht="15.75">
      <c r="A488" s="45"/>
      <c r="B488" s="22"/>
      <c r="C488" s="23"/>
    </row>
    <row r="489" spans="1:3" ht="12.75">
      <c r="A489" s="42"/>
      <c r="B489" s="22"/>
      <c r="C489" s="20"/>
    </row>
    <row r="490" spans="1:3" ht="12.75">
      <c r="A490" s="42"/>
      <c r="B490" s="22"/>
      <c r="C490" s="20"/>
    </row>
    <row r="491" spans="1:3" ht="12.75">
      <c r="A491" s="41"/>
      <c r="B491" s="21"/>
      <c r="C491" s="20"/>
    </row>
    <row r="492" spans="1:3" ht="12.75">
      <c r="A492" s="41"/>
      <c r="B492" s="21"/>
      <c r="C492" s="20"/>
    </row>
    <row r="493" spans="1:3" ht="12.75">
      <c r="A493" s="41"/>
      <c r="B493" s="21"/>
      <c r="C493" s="20"/>
    </row>
    <row r="494" spans="1:3" ht="12.75">
      <c r="A494" s="41"/>
      <c r="B494" s="21"/>
      <c r="C494" s="20"/>
    </row>
    <row r="495" spans="1:3" ht="12.75">
      <c r="A495" s="41"/>
      <c r="B495" s="21"/>
      <c r="C495" s="20"/>
    </row>
    <row r="496" spans="1:3" ht="12.75">
      <c r="A496" s="41"/>
      <c r="B496" s="21"/>
      <c r="C496" s="20"/>
    </row>
    <row r="497" spans="1:3" ht="12.75">
      <c r="A497" s="41"/>
      <c r="B497" s="21"/>
      <c r="C497" s="20"/>
    </row>
    <row r="498" spans="1:3" ht="12.75">
      <c r="A498" s="41"/>
      <c r="B498" s="21"/>
      <c r="C498" s="20"/>
    </row>
    <row r="499" spans="1:3" ht="12.75">
      <c r="A499" s="41"/>
      <c r="B499" s="22"/>
      <c r="C499" s="23"/>
    </row>
    <row r="500" spans="1:3" ht="12.75">
      <c r="A500" s="41"/>
      <c r="B500" s="21"/>
      <c r="C500" s="20"/>
    </row>
    <row r="501" spans="1:3" ht="12.75">
      <c r="A501" s="42"/>
      <c r="B501" s="22"/>
      <c r="C501" s="20"/>
    </row>
    <row r="502" spans="1:3" ht="12.75">
      <c r="A502" s="42"/>
      <c r="B502" s="22"/>
      <c r="C502" s="20"/>
    </row>
    <row r="503" spans="1:3" ht="12.75">
      <c r="A503" s="41"/>
      <c r="B503" s="21"/>
      <c r="C503" s="20"/>
    </row>
    <row r="504" spans="1:3" ht="12.75">
      <c r="A504" s="41"/>
      <c r="B504" s="21"/>
      <c r="C504" s="20"/>
    </row>
    <row r="505" spans="1:3" ht="12.75">
      <c r="A505" s="41"/>
      <c r="B505" s="21"/>
      <c r="C505" s="20"/>
    </row>
    <row r="506" spans="1:3" ht="12.75">
      <c r="A506" s="41"/>
      <c r="B506" s="21"/>
      <c r="C506" s="20"/>
    </row>
    <row r="507" spans="1:3" ht="12.75">
      <c r="A507" s="41"/>
      <c r="B507" s="22"/>
      <c r="C507" s="23"/>
    </row>
    <row r="508" spans="1:3" ht="12.75">
      <c r="A508" s="41"/>
      <c r="B508" s="21"/>
      <c r="C508" s="20"/>
    </row>
    <row r="509" spans="1:3" ht="12.75">
      <c r="A509" s="42"/>
      <c r="B509" s="22"/>
      <c r="C509" s="20"/>
    </row>
    <row r="510" spans="1:3" ht="12.75">
      <c r="A510" s="42"/>
      <c r="B510" s="22"/>
      <c r="C510" s="20"/>
    </row>
    <row r="511" spans="1:3" ht="12.75">
      <c r="A511" s="41"/>
      <c r="B511" s="21"/>
      <c r="C511" s="20"/>
    </row>
    <row r="512" spans="1:3" ht="12.75">
      <c r="A512" s="41"/>
      <c r="B512" s="21"/>
      <c r="C512" s="20"/>
    </row>
    <row r="513" spans="1:3" ht="12.75">
      <c r="A513" s="41"/>
      <c r="B513" s="21"/>
      <c r="C513" s="20"/>
    </row>
    <row r="514" spans="1:3" ht="12.75">
      <c r="A514" s="41"/>
      <c r="B514" s="21"/>
      <c r="C514" s="20"/>
    </row>
    <row r="515" spans="1:3" ht="12.75">
      <c r="A515" s="42"/>
      <c r="B515" s="22"/>
      <c r="C515" s="23"/>
    </row>
    <row r="516" spans="1:3" ht="12.75">
      <c r="A516" s="42"/>
      <c r="B516" s="22"/>
      <c r="C516" s="20"/>
    </row>
    <row r="517" spans="1:3" ht="15.75">
      <c r="A517" s="42"/>
      <c r="B517" s="27"/>
      <c r="C517" s="28"/>
    </row>
    <row r="518" spans="1:3" ht="15.75">
      <c r="A518" s="42"/>
      <c r="B518" s="27"/>
      <c r="C518" s="28"/>
    </row>
    <row r="519" spans="1:3" ht="12.75">
      <c r="A519" s="42"/>
      <c r="B519" s="22"/>
      <c r="C519" s="20"/>
    </row>
    <row r="520" spans="1:3" ht="15.75">
      <c r="A520" s="45"/>
      <c r="B520" s="27"/>
      <c r="C520" s="20"/>
    </row>
    <row r="521" spans="1:3" ht="12.75">
      <c r="A521" s="42"/>
      <c r="B521" s="22"/>
      <c r="C521" s="20"/>
    </row>
    <row r="522" spans="1:3" ht="12.75">
      <c r="A522" s="42"/>
      <c r="B522" s="22"/>
      <c r="C522" s="20"/>
    </row>
    <row r="523" spans="1:3" ht="12.75">
      <c r="A523" s="42"/>
      <c r="B523" s="22"/>
      <c r="C523" s="20"/>
    </row>
    <row r="524" spans="1:3" ht="12.75">
      <c r="A524" s="41"/>
      <c r="B524" s="21"/>
      <c r="C524" s="20"/>
    </row>
    <row r="525" spans="1:3" ht="12.75">
      <c r="A525" s="41"/>
      <c r="B525" s="21"/>
      <c r="C525" s="20"/>
    </row>
    <row r="526" spans="1:3" ht="12.75">
      <c r="A526" s="41"/>
      <c r="B526" s="21"/>
      <c r="C526" s="20"/>
    </row>
    <row r="527" spans="1:3" ht="12.75">
      <c r="A527" s="41"/>
      <c r="B527" s="21"/>
      <c r="C527" s="20"/>
    </row>
    <row r="528" spans="1:3" ht="12.75">
      <c r="A528" s="41"/>
      <c r="B528" s="21"/>
      <c r="C528" s="20"/>
    </row>
    <row r="529" spans="1:3" ht="12.75">
      <c r="A529" s="41"/>
      <c r="B529" s="21"/>
      <c r="C529" s="20"/>
    </row>
    <row r="530" spans="1:3" ht="12.75">
      <c r="A530" s="41"/>
      <c r="B530" s="21"/>
      <c r="C530" s="20"/>
    </row>
    <row r="531" spans="1:3" ht="12.75">
      <c r="A531" s="41"/>
      <c r="B531" s="21"/>
      <c r="C531" s="20"/>
    </row>
    <row r="532" spans="1:3" ht="12.75">
      <c r="A532" s="41"/>
      <c r="B532" s="21"/>
      <c r="C532" s="20"/>
    </row>
    <row r="533" spans="1:3" ht="12.75">
      <c r="A533" s="41"/>
      <c r="B533" s="21"/>
      <c r="C533" s="20"/>
    </row>
    <row r="534" spans="1:3" ht="12.75">
      <c r="A534" s="42"/>
      <c r="B534" s="22"/>
      <c r="C534" s="23"/>
    </row>
    <row r="535" spans="1:3" ht="12.75">
      <c r="A535" s="42"/>
      <c r="B535" s="22"/>
      <c r="C535" s="20"/>
    </row>
    <row r="536" spans="1:3" ht="12.75">
      <c r="A536" s="42"/>
      <c r="B536" s="22"/>
      <c r="C536" s="20"/>
    </row>
    <row r="537" spans="1:3" ht="12.75">
      <c r="A537" s="42"/>
      <c r="B537" s="22"/>
      <c r="C537" s="20"/>
    </row>
    <row r="538" spans="1:3" ht="12.75">
      <c r="A538" s="41"/>
      <c r="B538" s="21"/>
      <c r="C538" s="20"/>
    </row>
    <row r="539" spans="1:3" ht="12.75">
      <c r="A539" s="41"/>
      <c r="B539" s="21"/>
      <c r="C539" s="20"/>
    </row>
    <row r="540" spans="1:3" ht="12.75">
      <c r="A540" s="41"/>
      <c r="B540" s="21"/>
      <c r="C540" s="20"/>
    </row>
    <row r="541" spans="1:3" ht="12.75">
      <c r="A541" s="41"/>
      <c r="B541" s="21"/>
      <c r="C541" s="20"/>
    </row>
    <row r="542" spans="1:3" ht="12.75">
      <c r="A542" s="41"/>
      <c r="B542" s="21"/>
      <c r="C542" s="20"/>
    </row>
    <row r="543" spans="1:3" ht="12.75">
      <c r="A543" s="41"/>
      <c r="B543" s="21"/>
      <c r="C543" s="20"/>
    </row>
    <row r="544" spans="1:3" ht="12.75">
      <c r="A544" s="41"/>
      <c r="B544" s="21"/>
      <c r="C544" s="20"/>
    </row>
    <row r="545" spans="1:3" ht="12.75">
      <c r="A545" s="41"/>
      <c r="B545" s="21"/>
      <c r="C545" s="20"/>
    </row>
    <row r="546" spans="1:3" ht="12.75">
      <c r="A546" s="41"/>
      <c r="B546" s="22"/>
      <c r="C546" s="23"/>
    </row>
    <row r="547" spans="1:3" ht="12.75">
      <c r="A547" s="41"/>
      <c r="B547" s="21"/>
      <c r="C547" s="20"/>
    </row>
    <row r="548" spans="1:3" ht="15.75">
      <c r="A548" s="41"/>
      <c r="B548" s="27"/>
      <c r="C548" s="28"/>
    </row>
    <row r="549" spans="1:3" ht="15.75">
      <c r="A549" s="41"/>
      <c r="B549" s="27"/>
      <c r="C549" s="28"/>
    </row>
    <row r="550" spans="1:3" ht="12.75">
      <c r="A550" s="41"/>
      <c r="B550" s="22"/>
      <c r="C550" s="20"/>
    </row>
    <row r="551" spans="1:3" ht="15.75">
      <c r="A551" s="45"/>
      <c r="B551" s="27"/>
      <c r="C551" s="20"/>
    </row>
    <row r="552" spans="1:3" ht="15.75">
      <c r="A552" s="45"/>
      <c r="B552" s="27"/>
      <c r="C552" s="20"/>
    </row>
    <row r="553" spans="1:3" ht="15.75">
      <c r="A553" s="42"/>
      <c r="B553" s="27"/>
      <c r="C553" s="20"/>
    </row>
    <row r="554" spans="1:3" ht="12.75">
      <c r="A554" s="41"/>
      <c r="B554" s="19"/>
      <c r="C554" s="20"/>
    </row>
    <row r="555" spans="1:3" ht="12.75">
      <c r="A555" s="41"/>
      <c r="B555" s="21"/>
      <c r="C555" s="20"/>
    </row>
    <row r="556" spans="1:3" ht="15.75">
      <c r="A556" s="45"/>
      <c r="B556" s="27"/>
      <c r="C556" s="20"/>
    </row>
    <row r="557" spans="1:3" ht="15.75">
      <c r="A557" s="45"/>
      <c r="B557" s="22"/>
      <c r="C557" s="23"/>
    </row>
    <row r="558" spans="1:3" ht="15.75">
      <c r="A558" s="45"/>
      <c r="B558" s="22"/>
      <c r="C558" s="23"/>
    </row>
    <row r="559" spans="1:3" ht="15.75">
      <c r="A559" s="42"/>
      <c r="B559" s="27"/>
      <c r="C559" s="20"/>
    </row>
    <row r="560" spans="1:3" ht="12.75">
      <c r="A560" s="41"/>
      <c r="B560" s="21"/>
      <c r="C560" s="20"/>
    </row>
    <row r="561" spans="1:3" ht="12.75">
      <c r="A561" s="41"/>
      <c r="B561" s="21"/>
      <c r="C561" s="20"/>
    </row>
    <row r="562" spans="1:3" ht="12.75">
      <c r="A562" s="41"/>
      <c r="B562" s="21"/>
      <c r="C562" s="20"/>
    </row>
    <row r="563" spans="1:3" ht="12.75">
      <c r="A563" s="41"/>
      <c r="B563" s="21"/>
      <c r="C563" s="20"/>
    </row>
    <row r="564" spans="1:3" ht="12.75">
      <c r="A564" s="41"/>
      <c r="B564" s="21"/>
      <c r="C564" s="20"/>
    </row>
    <row r="565" spans="1:3" ht="12.75">
      <c r="A565" s="41"/>
      <c r="B565" s="21"/>
      <c r="C565" s="20"/>
    </row>
    <row r="566" spans="1:3" ht="12.75">
      <c r="A566" s="41"/>
      <c r="B566" s="22"/>
      <c r="C566" s="23"/>
    </row>
    <row r="567" spans="1:3" ht="15.75">
      <c r="A567" s="41"/>
      <c r="B567" s="27"/>
      <c r="C567" s="28"/>
    </row>
    <row r="568" spans="1:3" ht="15.75">
      <c r="A568" s="41"/>
      <c r="B568" s="27"/>
      <c r="C568" s="28"/>
    </row>
    <row r="569" spans="1:3" ht="12.75">
      <c r="A569" s="41"/>
      <c r="B569" s="22"/>
      <c r="C569" s="20"/>
    </row>
    <row r="570" spans="1:3" ht="15.75">
      <c r="A570" s="45"/>
      <c r="B570" s="27"/>
      <c r="C570" s="20"/>
    </row>
    <row r="571" spans="1:3" ht="12.75">
      <c r="A571" s="42"/>
      <c r="B571" s="22"/>
      <c r="C571" s="20"/>
    </row>
    <row r="572" spans="1:3" ht="12.75">
      <c r="A572" s="42"/>
      <c r="B572" s="22"/>
      <c r="C572" s="20"/>
    </row>
    <row r="573" spans="1:3" ht="12.75">
      <c r="A573" s="41"/>
      <c r="B573" s="21"/>
      <c r="C573" s="20"/>
    </row>
    <row r="574" spans="1:3" ht="12.75">
      <c r="A574" s="41"/>
      <c r="B574" s="21"/>
      <c r="C574" s="20"/>
    </row>
    <row r="575" spans="1:3" ht="12.75">
      <c r="A575" s="41"/>
      <c r="B575" s="21"/>
      <c r="C575" s="20"/>
    </row>
    <row r="576" spans="1:3" ht="12.75">
      <c r="A576" s="41"/>
      <c r="B576" s="21"/>
      <c r="C576" s="20"/>
    </row>
    <row r="577" spans="1:3" ht="12.75">
      <c r="A577" s="41"/>
      <c r="B577" s="21"/>
      <c r="C577" s="20"/>
    </row>
    <row r="578" spans="1:3" ht="12.75">
      <c r="A578" s="41"/>
      <c r="B578" s="21"/>
      <c r="C578" s="20"/>
    </row>
    <row r="579" spans="1:3" ht="12.75">
      <c r="A579" s="41"/>
      <c r="B579" s="22"/>
      <c r="C579" s="23"/>
    </row>
    <row r="580" spans="1:3" ht="12.75">
      <c r="A580" s="41"/>
      <c r="B580" s="22"/>
      <c r="C580" s="23"/>
    </row>
    <row r="581" spans="1:3" ht="12.75">
      <c r="A581" s="41"/>
      <c r="B581" s="22"/>
      <c r="C581" s="23"/>
    </row>
    <row r="582" spans="1:3" ht="12.75">
      <c r="A582" s="42"/>
      <c r="B582" s="22"/>
      <c r="C582" s="23"/>
    </row>
    <row r="583" spans="1:3" ht="12.75">
      <c r="A583" s="41"/>
      <c r="B583" s="21"/>
      <c r="C583" s="20"/>
    </row>
    <row r="584" spans="1:3" ht="12.75">
      <c r="A584" s="41"/>
      <c r="B584" s="21"/>
      <c r="C584" s="20"/>
    </row>
    <row r="585" spans="1:3" ht="12.75">
      <c r="A585" s="41"/>
      <c r="B585" s="21"/>
      <c r="C585" s="20"/>
    </row>
    <row r="586" spans="1:3" ht="12.75">
      <c r="A586" s="41"/>
      <c r="B586" s="21"/>
      <c r="C586" s="20"/>
    </row>
    <row r="587" spans="1:3" ht="12.75">
      <c r="A587" s="41"/>
      <c r="B587" s="21"/>
      <c r="C587" s="20"/>
    </row>
    <row r="588" spans="1:3" ht="12.75">
      <c r="A588" s="41"/>
      <c r="B588" s="19"/>
      <c r="C588" s="25"/>
    </row>
    <row r="589" spans="1:3" ht="12.75">
      <c r="A589" s="41"/>
      <c r="B589" s="22"/>
      <c r="C589" s="23"/>
    </row>
    <row r="590" spans="1:3" ht="12.75">
      <c r="A590" s="41"/>
      <c r="B590" s="22"/>
      <c r="C590" s="23"/>
    </row>
    <row r="591" spans="1:3" ht="15.75">
      <c r="A591" s="41"/>
      <c r="B591" s="27"/>
      <c r="C591" s="28"/>
    </row>
    <row r="592" spans="1:3" ht="15.75">
      <c r="A592" s="41"/>
      <c r="B592" s="27"/>
      <c r="C592" s="28"/>
    </row>
    <row r="593" spans="1:3" ht="12.75">
      <c r="A593" s="41"/>
      <c r="B593" s="22"/>
      <c r="C593" s="20"/>
    </row>
    <row r="594" spans="1:3" ht="15.75">
      <c r="A594" s="45"/>
      <c r="B594" s="27"/>
      <c r="C594" s="20"/>
    </row>
    <row r="595" spans="1:3" ht="15.75">
      <c r="A595" s="45"/>
      <c r="B595" s="27"/>
      <c r="C595" s="20"/>
    </row>
    <row r="596" spans="1:3" ht="12.75">
      <c r="A596" s="41"/>
      <c r="B596" s="21"/>
      <c r="C596" s="20"/>
    </row>
    <row r="597" spans="1:3" ht="12.75">
      <c r="A597" s="41"/>
      <c r="B597" s="21"/>
      <c r="C597" s="20"/>
    </row>
    <row r="598" spans="1:3" ht="12.75">
      <c r="A598" s="41"/>
      <c r="B598" s="21"/>
      <c r="C598" s="20"/>
    </row>
    <row r="599" spans="1:3" ht="12.75">
      <c r="A599" s="41"/>
      <c r="B599" s="21"/>
      <c r="C599" s="20"/>
    </row>
    <row r="600" spans="1:3" ht="15.75">
      <c r="A600" s="41"/>
      <c r="B600" s="27"/>
      <c r="C600" s="28"/>
    </row>
    <row r="601" spans="1:3" ht="15.75">
      <c r="A601" s="41"/>
      <c r="B601" s="27"/>
      <c r="C601" s="28"/>
    </row>
    <row r="602" spans="1:3" ht="12.75">
      <c r="A602" s="41"/>
      <c r="B602" s="22"/>
      <c r="C602" s="20"/>
    </row>
    <row r="603" spans="1:3" ht="15.75">
      <c r="A603" s="45"/>
      <c r="B603" s="27"/>
      <c r="C603" s="20"/>
    </row>
    <row r="604" spans="1:3" ht="12.75">
      <c r="A604" s="42"/>
      <c r="B604" s="22"/>
      <c r="C604" s="20"/>
    </row>
    <row r="605" spans="1:3" ht="12.75">
      <c r="A605" s="41"/>
      <c r="B605" s="21"/>
      <c r="C605" s="20"/>
    </row>
    <row r="606" spans="1:3" ht="12.75">
      <c r="A606" s="41"/>
      <c r="B606" s="21"/>
      <c r="C606" s="20"/>
    </row>
    <row r="607" spans="1:3" ht="12.75">
      <c r="A607" s="41"/>
      <c r="B607" s="21"/>
      <c r="C607" s="20"/>
    </row>
    <row r="608" spans="1:3" ht="12.75">
      <c r="A608" s="41"/>
      <c r="B608" s="21"/>
      <c r="C608" s="20"/>
    </row>
    <row r="609" spans="1:3" ht="12.75">
      <c r="A609" s="41"/>
      <c r="B609" s="21"/>
      <c r="C609" s="20"/>
    </row>
    <row r="610" spans="1:3" ht="12.75">
      <c r="A610" s="41"/>
      <c r="B610" s="21"/>
      <c r="C610" s="20"/>
    </row>
    <row r="611" spans="1:3" ht="12.75">
      <c r="A611" s="41"/>
      <c r="B611" s="21"/>
      <c r="C611" s="20"/>
    </row>
    <row r="612" spans="1:3" ht="12.75">
      <c r="A612" s="41"/>
      <c r="B612" s="21"/>
      <c r="C612" s="20"/>
    </row>
    <row r="613" spans="1:3" ht="12.75">
      <c r="A613" s="41"/>
      <c r="B613" s="21"/>
      <c r="C613" s="20"/>
    </row>
    <row r="614" spans="1:3" ht="12.75">
      <c r="A614" s="41"/>
      <c r="B614" s="21"/>
      <c r="C614" s="20"/>
    </row>
    <row r="615" spans="1:3" ht="12.75">
      <c r="A615" s="41"/>
      <c r="B615" s="21"/>
      <c r="C615" s="20"/>
    </row>
    <row r="616" spans="1:3" ht="12.75">
      <c r="A616" s="41"/>
      <c r="B616" s="21"/>
      <c r="C616" s="25"/>
    </row>
    <row r="617" spans="1:3" ht="12.75">
      <c r="A617" s="41"/>
      <c r="B617" s="19"/>
      <c r="C617" s="25"/>
    </row>
    <row r="618" spans="1:3" ht="12.75">
      <c r="A618" s="41"/>
      <c r="B618" s="21"/>
      <c r="C618" s="25"/>
    </row>
    <row r="619" spans="1:3" ht="12.75">
      <c r="A619" s="41"/>
      <c r="B619" s="44"/>
      <c r="C619" s="25"/>
    </row>
    <row r="620" spans="1:3" ht="12.75">
      <c r="A620" s="41"/>
      <c r="B620" s="21"/>
      <c r="C620" s="25"/>
    </row>
    <row r="621" spans="1:3" ht="15.75">
      <c r="A621" s="41"/>
      <c r="B621" s="27"/>
      <c r="C621" s="28"/>
    </row>
    <row r="622" spans="1:3" ht="15.75">
      <c r="A622" s="41"/>
      <c r="B622" s="27"/>
      <c r="C622" s="28"/>
    </row>
    <row r="623" spans="1:3" ht="15.75">
      <c r="A623" s="41"/>
      <c r="B623" s="27"/>
      <c r="C623" s="28"/>
    </row>
    <row r="624" spans="1:3" ht="15.75">
      <c r="A624" s="45"/>
      <c r="B624" s="27"/>
      <c r="C624" s="20"/>
    </row>
    <row r="625" spans="1:3" ht="12.75">
      <c r="A625" s="42"/>
      <c r="B625" s="22"/>
      <c r="C625" s="20"/>
    </row>
    <row r="626" spans="1:3" ht="12.75">
      <c r="A626" s="41"/>
      <c r="B626" s="21"/>
      <c r="C626" s="20"/>
    </row>
    <row r="627" spans="1:3" ht="12.75">
      <c r="A627" s="41"/>
      <c r="B627" s="21"/>
      <c r="C627" s="20"/>
    </row>
    <row r="628" spans="1:3" ht="12.75">
      <c r="A628" s="41"/>
      <c r="B628" s="21"/>
      <c r="C628" s="20"/>
    </row>
    <row r="629" spans="1:3" ht="12.75">
      <c r="A629" s="41"/>
      <c r="B629" s="21"/>
      <c r="C629" s="20"/>
    </row>
    <row r="630" spans="1:3" ht="12.75">
      <c r="A630" s="41"/>
      <c r="B630" s="21"/>
      <c r="C630" s="20"/>
    </row>
    <row r="631" spans="1:3" ht="12.75">
      <c r="A631" s="41"/>
      <c r="B631" s="21"/>
      <c r="C631" s="20"/>
    </row>
    <row r="632" spans="1:3" ht="15.75">
      <c r="A632" s="41"/>
      <c r="B632" s="27"/>
      <c r="C632" s="28"/>
    </row>
    <row r="633" spans="1:3" ht="15.75">
      <c r="A633" s="41"/>
      <c r="B633" s="27"/>
      <c r="C633" s="28"/>
    </row>
    <row r="634" spans="1:3" ht="12.75">
      <c r="A634" s="41"/>
      <c r="B634" s="22"/>
      <c r="C634" s="20"/>
    </row>
    <row r="635" spans="1:3" ht="15.75">
      <c r="A635" s="45"/>
      <c r="B635" s="27"/>
      <c r="C635" s="20"/>
    </row>
    <row r="636" spans="1:3" ht="15.75">
      <c r="A636" s="45"/>
      <c r="B636" s="27"/>
      <c r="C636" s="20"/>
    </row>
    <row r="637" spans="1:3" ht="15.75">
      <c r="A637" s="45"/>
      <c r="B637" s="27"/>
      <c r="C637" s="20"/>
    </row>
    <row r="638" spans="1:3" ht="12.75">
      <c r="A638" s="41"/>
      <c r="B638" s="21"/>
      <c r="C638" s="20"/>
    </row>
    <row r="639" spans="1:3" ht="12.75">
      <c r="A639" s="41"/>
      <c r="B639" s="21"/>
      <c r="C639" s="20"/>
    </row>
    <row r="640" spans="1:3" ht="15.75">
      <c r="A640" s="45"/>
      <c r="B640" s="22"/>
      <c r="C640" s="23"/>
    </row>
    <row r="641" spans="1:3" ht="15.75">
      <c r="A641" s="45"/>
      <c r="B641" s="27"/>
      <c r="C641" s="20"/>
    </row>
    <row r="642" spans="1:3" ht="12.75">
      <c r="A642" s="42"/>
      <c r="B642" s="22"/>
      <c r="C642" s="20"/>
    </row>
    <row r="643" spans="1:3" ht="12.75">
      <c r="A643" s="41"/>
      <c r="B643" s="21"/>
      <c r="C643" s="20"/>
    </row>
    <row r="644" spans="1:3" ht="12.75">
      <c r="A644" s="41"/>
      <c r="B644" s="21"/>
      <c r="C644" s="20"/>
    </row>
    <row r="645" spans="1:3" ht="12.75">
      <c r="A645" s="41"/>
      <c r="B645" s="21"/>
      <c r="C645" s="20"/>
    </row>
    <row r="646" spans="1:3" ht="12.75">
      <c r="A646" s="41"/>
      <c r="B646" s="21"/>
      <c r="C646" s="20"/>
    </row>
    <row r="647" spans="1:3" ht="12.75">
      <c r="A647" s="41"/>
      <c r="B647" s="21"/>
      <c r="C647" s="20"/>
    </row>
    <row r="648" spans="1:3" ht="12.75">
      <c r="A648" s="41"/>
      <c r="B648" s="21"/>
      <c r="C648" s="20"/>
    </row>
    <row r="649" spans="1:3" ht="12.75">
      <c r="A649" s="41"/>
      <c r="B649" s="21"/>
      <c r="C649" s="20"/>
    </row>
    <row r="650" spans="1:3" ht="12.75">
      <c r="A650" s="41"/>
      <c r="B650" s="21"/>
      <c r="C650" s="20"/>
    </row>
    <row r="651" spans="1:3" ht="12.75">
      <c r="A651" s="41"/>
      <c r="B651" s="21"/>
      <c r="C651" s="20"/>
    </row>
    <row r="652" spans="1:3" ht="12.75">
      <c r="A652" s="41"/>
      <c r="B652" s="21"/>
      <c r="C652" s="20"/>
    </row>
    <row r="653" spans="1:3" ht="12.75">
      <c r="A653" s="41"/>
      <c r="B653" s="21"/>
      <c r="C653" s="20"/>
    </row>
    <row r="654" spans="1:3" ht="12.75">
      <c r="A654" s="41"/>
      <c r="B654" s="21"/>
      <c r="C654" s="20"/>
    </row>
    <row r="655" spans="1:3" ht="12.75">
      <c r="A655" s="41"/>
      <c r="B655" s="21"/>
      <c r="C655" s="20"/>
    </row>
    <row r="656" spans="1:3" ht="12.75">
      <c r="A656" s="41"/>
      <c r="B656" s="21"/>
      <c r="C656" s="25"/>
    </row>
    <row r="657" spans="1:3" ht="12.75">
      <c r="A657" s="41"/>
      <c r="B657" s="21"/>
      <c r="C657" s="25"/>
    </row>
    <row r="658" spans="1:3" ht="12.75">
      <c r="A658" s="41"/>
      <c r="B658" s="21"/>
      <c r="C658" s="25"/>
    </row>
    <row r="659" spans="1:3" ht="12.75">
      <c r="A659" s="41"/>
      <c r="B659" s="21"/>
      <c r="C659" s="25"/>
    </row>
    <row r="660" spans="1:3" ht="12.75">
      <c r="A660" s="41"/>
      <c r="B660" s="21"/>
      <c r="C660" s="20"/>
    </row>
    <row r="661" spans="1:3" ht="12.75">
      <c r="A661" s="41"/>
      <c r="B661" s="21"/>
      <c r="C661" s="25"/>
    </row>
    <row r="662" spans="1:3" ht="12.75">
      <c r="A662" s="41"/>
      <c r="B662" s="21"/>
      <c r="C662" s="25"/>
    </row>
    <row r="663" spans="1:3" ht="12.75">
      <c r="A663" s="41"/>
      <c r="B663" s="19"/>
      <c r="C663" s="25"/>
    </row>
    <row r="664" spans="1:3" ht="12.75">
      <c r="A664" s="41"/>
      <c r="B664" s="21"/>
      <c r="C664" s="25"/>
    </row>
    <row r="665" spans="1:3" ht="12.75">
      <c r="A665" s="41"/>
      <c r="B665" s="21"/>
      <c r="C665" s="25"/>
    </row>
    <row r="666" spans="1:3" ht="12.75">
      <c r="A666" s="41"/>
      <c r="B666" s="21"/>
      <c r="C666" s="25"/>
    </row>
    <row r="667" spans="1:3" ht="12.75">
      <c r="A667" s="41"/>
      <c r="B667" s="19"/>
      <c r="C667" s="25"/>
    </row>
    <row r="668" spans="1:3" ht="12.75">
      <c r="A668" s="41"/>
      <c r="B668" s="21"/>
      <c r="C668" s="25"/>
    </row>
    <row r="669" spans="1:3" ht="12.75">
      <c r="A669" s="41"/>
      <c r="B669" s="19"/>
      <c r="C669" s="25"/>
    </row>
    <row r="670" spans="1:3" ht="12.75">
      <c r="A670" s="41"/>
      <c r="B670" s="21"/>
      <c r="C670" s="25"/>
    </row>
    <row r="671" spans="1:3" ht="12.75">
      <c r="A671" s="41"/>
      <c r="B671" s="21"/>
      <c r="C671" s="25"/>
    </row>
    <row r="672" spans="1:3" ht="12.75">
      <c r="A672" s="41"/>
      <c r="B672" s="21"/>
      <c r="C672" s="25"/>
    </row>
    <row r="673" spans="1:3" ht="12.75">
      <c r="A673" s="41"/>
      <c r="B673" s="21"/>
      <c r="C673" s="25"/>
    </row>
    <row r="674" spans="1:3" ht="12.75">
      <c r="A674" s="41"/>
      <c r="B674" s="43"/>
      <c r="C674" s="25"/>
    </row>
    <row r="675" spans="1:3" ht="12.75">
      <c r="A675" s="41"/>
      <c r="B675" s="22"/>
      <c r="C675" s="26"/>
    </row>
    <row r="676" spans="1:3" ht="12.75">
      <c r="A676" s="41"/>
      <c r="B676" s="21"/>
      <c r="C676" s="25"/>
    </row>
    <row r="677" spans="1:3" ht="15.75">
      <c r="A677" s="41"/>
      <c r="B677" s="27"/>
      <c r="C677" s="28"/>
    </row>
    <row r="678" spans="1:3" ht="12.75">
      <c r="A678" s="41"/>
      <c r="B678" s="21"/>
      <c r="C678" s="20"/>
    </row>
    <row r="679" spans="1:3" ht="12.75">
      <c r="A679" s="41"/>
      <c r="B679" s="22"/>
      <c r="C679" s="20"/>
    </row>
    <row r="680" spans="1:3" ht="15.75">
      <c r="A680" s="45"/>
      <c r="B680" s="27"/>
      <c r="C680" s="20"/>
    </row>
    <row r="681" spans="1:3" ht="12.75">
      <c r="A681" s="42"/>
      <c r="B681" s="22"/>
      <c r="C681" s="20"/>
    </row>
    <row r="682" spans="1:3" ht="12.75">
      <c r="A682" s="42"/>
      <c r="B682" s="22"/>
      <c r="C682" s="20"/>
    </row>
    <row r="683" spans="1:3" ht="12.75">
      <c r="A683" s="41"/>
      <c r="B683" s="21"/>
      <c r="C683" s="20"/>
    </row>
    <row r="684" spans="1:3" ht="12.75">
      <c r="A684" s="41"/>
      <c r="B684" s="21"/>
      <c r="C684" s="20"/>
    </row>
    <row r="685" spans="1:3" ht="12.75">
      <c r="A685" s="41"/>
      <c r="B685" s="21"/>
      <c r="C685" s="20"/>
    </row>
    <row r="686" spans="1:3" ht="12.75">
      <c r="A686" s="41"/>
      <c r="B686" s="21"/>
      <c r="C686" s="20"/>
    </row>
    <row r="687" spans="1:3" ht="12.75">
      <c r="A687" s="41"/>
      <c r="B687" s="21"/>
      <c r="C687" s="20"/>
    </row>
    <row r="688" spans="1:3" ht="12.75">
      <c r="A688" s="41"/>
      <c r="B688" s="22"/>
      <c r="C688" s="23"/>
    </row>
    <row r="689" spans="1:3" ht="12.75">
      <c r="A689" s="41"/>
      <c r="B689" s="21"/>
      <c r="C689" s="20"/>
    </row>
    <row r="690" spans="1:3" ht="12.75">
      <c r="A690" s="42"/>
      <c r="B690" s="22"/>
      <c r="C690" s="20"/>
    </row>
    <row r="691" spans="1:3" ht="12.75">
      <c r="A691" s="41"/>
      <c r="B691" s="21"/>
      <c r="C691" s="20"/>
    </row>
    <row r="692" spans="1:3" ht="12.75">
      <c r="A692" s="41"/>
      <c r="B692" s="21"/>
      <c r="C692" s="20"/>
    </row>
    <row r="693" spans="1:3" ht="12.75">
      <c r="A693" s="41"/>
      <c r="B693" s="21"/>
      <c r="C693" s="20"/>
    </row>
    <row r="694" spans="1:3" ht="12.75">
      <c r="A694" s="41"/>
      <c r="B694" s="21"/>
      <c r="C694" s="20"/>
    </row>
    <row r="695" spans="1:3" ht="12.75">
      <c r="A695" s="41"/>
      <c r="B695" s="21"/>
      <c r="C695" s="20"/>
    </row>
    <row r="696" spans="1:3" ht="12.75">
      <c r="A696" s="41"/>
      <c r="B696" s="21"/>
      <c r="C696" s="20"/>
    </row>
    <row r="697" spans="1:3" ht="12.75">
      <c r="A697" s="41"/>
      <c r="B697" s="21"/>
      <c r="C697" s="20"/>
    </row>
    <row r="698" spans="1:3" ht="12.75">
      <c r="A698" s="41"/>
      <c r="B698" s="21"/>
      <c r="C698" s="20"/>
    </row>
    <row r="699" spans="1:3" ht="12.75">
      <c r="A699" s="41"/>
      <c r="B699" s="22"/>
      <c r="C699" s="23"/>
    </row>
    <row r="700" spans="1:3" ht="12.75">
      <c r="A700" s="41"/>
      <c r="B700" s="21"/>
      <c r="C700" s="20"/>
    </row>
    <row r="701" spans="1:3" ht="12.75">
      <c r="A701" s="42"/>
      <c r="B701" s="22"/>
      <c r="C701" s="20"/>
    </row>
    <row r="702" spans="1:3" ht="12.75">
      <c r="A702" s="41"/>
      <c r="B702" s="21"/>
      <c r="C702" s="20"/>
    </row>
    <row r="703" spans="1:3" ht="12.75">
      <c r="A703" s="41"/>
      <c r="B703" s="21"/>
      <c r="C703" s="25"/>
    </row>
    <row r="704" spans="1:3" ht="12.75">
      <c r="A704" s="41"/>
      <c r="B704" s="21"/>
      <c r="C704" s="25"/>
    </row>
    <row r="705" spans="1:3" ht="12.75">
      <c r="A705" s="41"/>
      <c r="B705" s="21"/>
      <c r="C705" s="25"/>
    </row>
    <row r="706" spans="1:3" ht="12.75">
      <c r="A706" s="41"/>
      <c r="B706" s="21"/>
      <c r="C706" s="25"/>
    </row>
    <row r="707" spans="1:3" ht="12.75">
      <c r="A707" s="41"/>
      <c r="B707" s="22"/>
      <c r="C707" s="23"/>
    </row>
    <row r="708" spans="1:3" ht="12.75">
      <c r="A708" s="41"/>
      <c r="B708" s="21"/>
      <c r="C708" s="20"/>
    </row>
    <row r="709" spans="1:3" ht="12.75">
      <c r="A709" s="42"/>
      <c r="B709" s="22"/>
      <c r="C709" s="20"/>
    </row>
    <row r="710" spans="1:3" ht="12.75">
      <c r="A710" s="41"/>
      <c r="B710" s="21"/>
      <c r="C710" s="20"/>
    </row>
    <row r="711" spans="1:3" ht="12.75">
      <c r="A711" s="41"/>
      <c r="B711" s="21"/>
      <c r="C711" s="20"/>
    </row>
    <row r="712" spans="1:3" ht="12.75">
      <c r="A712" s="41"/>
      <c r="B712" s="21"/>
      <c r="C712" s="20"/>
    </row>
    <row r="713" spans="1:3" ht="12.75">
      <c r="A713" s="41"/>
      <c r="B713" s="22"/>
      <c r="C713" s="23"/>
    </row>
    <row r="714" spans="1:3" ht="12.75">
      <c r="A714" s="41"/>
      <c r="B714" s="22"/>
      <c r="C714" s="23"/>
    </row>
    <row r="715" spans="1:3" ht="15.75">
      <c r="A715" s="41"/>
      <c r="B715" s="27"/>
      <c r="C715" s="28"/>
    </row>
    <row r="716" spans="1:3" ht="15.75">
      <c r="A716" s="41"/>
      <c r="B716" s="27"/>
      <c r="C716" s="28"/>
    </row>
    <row r="717" spans="1:3" ht="15.75">
      <c r="A717" s="45"/>
      <c r="B717" s="27"/>
      <c r="C717" s="28"/>
    </row>
    <row r="718" spans="1:3" ht="12.75">
      <c r="A718" s="41"/>
      <c r="B718" s="22"/>
      <c r="C718" s="20"/>
    </row>
    <row r="719" spans="1:3" ht="12.75">
      <c r="A719" s="42"/>
      <c r="B719" s="22"/>
      <c r="C719" s="20"/>
    </row>
    <row r="720" spans="1:3" ht="12.75">
      <c r="A720" s="41"/>
      <c r="B720" s="19"/>
      <c r="C720" s="20"/>
    </row>
    <row r="721" spans="1:3" ht="12.75">
      <c r="A721" s="41"/>
      <c r="B721" s="19"/>
      <c r="C721" s="20"/>
    </row>
    <row r="722" spans="1:3" ht="12.75">
      <c r="A722" s="41"/>
      <c r="B722" s="19"/>
      <c r="C722" s="20"/>
    </row>
    <row r="723" spans="1:3" ht="12.75">
      <c r="A723" s="41"/>
      <c r="B723" s="19"/>
      <c r="C723" s="20"/>
    </row>
    <row r="724" spans="1:3" ht="12.75">
      <c r="A724" s="41"/>
      <c r="B724" s="19"/>
      <c r="C724" s="20"/>
    </row>
    <row r="725" spans="1:3" ht="12.75">
      <c r="A725" s="41"/>
      <c r="B725" s="19"/>
      <c r="C725" s="20"/>
    </row>
    <row r="726" spans="1:3" ht="12.75">
      <c r="A726" s="41"/>
      <c r="B726" s="19"/>
      <c r="C726" s="20"/>
    </row>
    <row r="727" spans="1:3" ht="12.75">
      <c r="A727" s="41"/>
      <c r="B727" s="19"/>
      <c r="C727" s="20"/>
    </row>
    <row r="728" spans="1:3" ht="12.75">
      <c r="A728" s="41"/>
      <c r="B728" s="19"/>
      <c r="C728" s="20"/>
    </row>
    <row r="729" spans="1:3" ht="12.75">
      <c r="A729" s="41"/>
      <c r="B729" s="19"/>
      <c r="C729" s="20"/>
    </row>
    <row r="730" spans="1:3" ht="12.75">
      <c r="A730" s="41"/>
      <c r="B730" s="19"/>
      <c r="C730" s="20"/>
    </row>
    <row r="731" spans="1:3" ht="12.75">
      <c r="A731" s="41"/>
      <c r="B731" s="19"/>
      <c r="C731" s="20"/>
    </row>
    <row r="732" spans="1:3" ht="12.75">
      <c r="A732" s="41"/>
      <c r="B732" s="19"/>
      <c r="C732" s="20"/>
    </row>
    <row r="733" spans="1:3" ht="12.75">
      <c r="A733" s="41"/>
      <c r="B733" s="19"/>
      <c r="C733" s="20"/>
    </row>
    <row r="734" spans="1:3" ht="12.75">
      <c r="A734" s="41"/>
      <c r="B734" s="19"/>
      <c r="C734" s="20"/>
    </row>
    <row r="735" spans="1:3" ht="12.75">
      <c r="A735" s="41"/>
      <c r="B735" s="19"/>
      <c r="C735" s="20"/>
    </row>
    <row r="736" spans="1:3" ht="12.75">
      <c r="A736" s="41"/>
      <c r="B736" s="43"/>
      <c r="C736" s="20"/>
    </row>
    <row r="737" spans="1:3" ht="12.75">
      <c r="A737" s="41"/>
      <c r="B737" s="22"/>
      <c r="C737" s="23"/>
    </row>
    <row r="738" spans="1:3" ht="12.75">
      <c r="A738" s="41"/>
      <c r="B738" s="22"/>
      <c r="C738" s="20"/>
    </row>
    <row r="739" spans="1:3" ht="12.75">
      <c r="A739" s="42"/>
      <c r="B739" s="22"/>
      <c r="C739" s="20"/>
    </row>
    <row r="740" spans="1:3" ht="12.75">
      <c r="A740" s="42"/>
      <c r="B740" s="22"/>
      <c r="C740" s="20"/>
    </row>
    <row r="741" spans="1:3" ht="12.75">
      <c r="A741" s="41"/>
      <c r="B741" s="21"/>
      <c r="C741" s="20"/>
    </row>
    <row r="742" spans="1:3" ht="12.75">
      <c r="A742" s="41"/>
      <c r="B742" s="21"/>
      <c r="C742" s="20"/>
    </row>
    <row r="743" spans="1:3" ht="12.75">
      <c r="A743" s="41"/>
      <c r="B743" s="21"/>
      <c r="C743" s="20"/>
    </row>
    <row r="744" spans="1:3" ht="12.75">
      <c r="A744" s="41"/>
      <c r="B744" s="21"/>
      <c r="C744" s="20"/>
    </row>
    <row r="745" spans="1:3" ht="12.75">
      <c r="A745" s="41"/>
      <c r="B745" s="21"/>
      <c r="C745" s="20"/>
    </row>
    <row r="746" spans="1:3" ht="12.75">
      <c r="A746" s="41"/>
      <c r="B746" s="21"/>
      <c r="C746" s="20"/>
    </row>
    <row r="747" spans="1:3" ht="12.75">
      <c r="A747" s="41"/>
      <c r="B747" s="21"/>
      <c r="C747" s="25"/>
    </row>
    <row r="748" spans="1:3" ht="12.75">
      <c r="A748" s="41"/>
      <c r="B748" s="21"/>
      <c r="C748" s="25"/>
    </row>
    <row r="749" spans="1:3" ht="12.75">
      <c r="A749" s="41"/>
      <c r="B749" s="21"/>
      <c r="C749" s="25"/>
    </row>
    <row r="750" spans="1:3" ht="12.75">
      <c r="A750" s="41"/>
      <c r="B750" s="21"/>
      <c r="C750" s="25"/>
    </row>
    <row r="751" spans="1:3" ht="12.75">
      <c r="A751" s="41"/>
      <c r="B751" s="22"/>
      <c r="C751" s="23"/>
    </row>
    <row r="752" spans="1:3" ht="12.75">
      <c r="A752" s="41"/>
      <c r="B752" s="21"/>
      <c r="C752" s="20"/>
    </row>
    <row r="753" spans="1:3" ht="12.75">
      <c r="A753" s="42"/>
      <c r="B753" s="22"/>
      <c r="C753" s="20"/>
    </row>
    <row r="754" spans="1:3" ht="12.75">
      <c r="A754" s="41"/>
      <c r="B754" s="21"/>
      <c r="C754" s="25"/>
    </row>
    <row r="755" spans="1:3" ht="12.75">
      <c r="A755" s="41"/>
      <c r="B755" s="21"/>
      <c r="C755" s="25"/>
    </row>
    <row r="756" spans="1:3" ht="12.75">
      <c r="A756" s="41"/>
      <c r="B756" s="21"/>
      <c r="C756" s="25"/>
    </row>
    <row r="757" spans="1:3" ht="12.75">
      <c r="A757" s="41"/>
      <c r="B757" s="21"/>
      <c r="C757" s="25"/>
    </row>
    <row r="758" spans="1:3" ht="12.75">
      <c r="A758" s="41"/>
      <c r="B758" s="21"/>
      <c r="C758" s="20"/>
    </row>
    <row r="759" spans="1:3" ht="12.75">
      <c r="A759" s="41"/>
      <c r="B759" s="21"/>
      <c r="C759" s="20"/>
    </row>
    <row r="760" spans="1:3" ht="12.75">
      <c r="A760" s="41"/>
      <c r="B760" s="21"/>
      <c r="C760" s="20"/>
    </row>
    <row r="761" spans="1:3" ht="12.75">
      <c r="A761" s="41"/>
      <c r="B761" s="46"/>
      <c r="C761" s="23"/>
    </row>
    <row r="762" spans="1:3" ht="12.75">
      <c r="A762" s="41"/>
      <c r="B762" s="21"/>
      <c r="C762" s="20"/>
    </row>
    <row r="763" spans="1:3" ht="15.75">
      <c r="A763" s="41"/>
      <c r="B763" s="47"/>
      <c r="C763" s="28"/>
    </row>
    <row r="764" spans="1:3" ht="15.75">
      <c r="A764" s="41"/>
      <c r="B764" s="48"/>
      <c r="C764" s="28"/>
    </row>
    <row r="765" spans="1:3" ht="12.75">
      <c r="A765" s="41"/>
      <c r="B765" s="22"/>
      <c r="C765" s="20"/>
    </row>
    <row r="766" spans="1:3" ht="15.75">
      <c r="A766" s="45"/>
      <c r="B766" s="27"/>
      <c r="C766" s="20"/>
    </row>
    <row r="767" spans="1:3" ht="12.75">
      <c r="A767" s="42"/>
      <c r="B767" s="22"/>
      <c r="C767" s="20"/>
    </row>
    <row r="768" spans="1:3" ht="12.75">
      <c r="A768" s="42"/>
      <c r="B768" s="22"/>
      <c r="C768" s="20"/>
    </row>
    <row r="769" spans="1:3" ht="12.75">
      <c r="A769" s="41"/>
      <c r="B769" s="21"/>
      <c r="C769" s="20"/>
    </row>
    <row r="770" spans="1:3" ht="12.75">
      <c r="A770" s="41"/>
      <c r="B770" s="21"/>
      <c r="C770" s="20"/>
    </row>
    <row r="771" spans="1:3" ht="12.75">
      <c r="A771" s="41"/>
      <c r="B771" s="21"/>
      <c r="C771" s="20"/>
    </row>
    <row r="772" spans="1:3" ht="12.75">
      <c r="A772" s="41"/>
      <c r="B772" s="21"/>
      <c r="C772" s="20"/>
    </row>
    <row r="773" spans="1:3" ht="12.75">
      <c r="A773" s="41"/>
      <c r="B773" s="21"/>
      <c r="C773" s="20"/>
    </row>
    <row r="774" spans="1:3" ht="12.75">
      <c r="A774" s="41"/>
      <c r="B774" s="21"/>
      <c r="C774" s="20"/>
    </row>
    <row r="775" spans="1:3" ht="12.75">
      <c r="A775" s="41"/>
      <c r="B775" s="22"/>
      <c r="C775" s="23"/>
    </row>
    <row r="776" spans="1:3" ht="12.75">
      <c r="A776" s="41"/>
      <c r="B776" s="21"/>
      <c r="C776" s="20"/>
    </row>
    <row r="777" spans="1:3" ht="12.75">
      <c r="A777" s="42"/>
      <c r="B777" s="22"/>
      <c r="C777" s="20"/>
    </row>
    <row r="778" spans="1:3" ht="12.75">
      <c r="A778" s="41"/>
      <c r="B778" s="21"/>
      <c r="C778" s="20"/>
    </row>
    <row r="779" spans="1:3" ht="12.75">
      <c r="A779" s="41"/>
      <c r="B779" s="21"/>
      <c r="C779" s="20"/>
    </row>
    <row r="780" spans="1:3" ht="12.75">
      <c r="A780" s="41"/>
      <c r="B780" s="21"/>
      <c r="C780" s="20"/>
    </row>
    <row r="781" spans="1:3" ht="12.75">
      <c r="A781" s="41"/>
      <c r="B781" s="21"/>
      <c r="C781" s="20"/>
    </row>
    <row r="782" spans="1:3" ht="12.75">
      <c r="A782" s="41"/>
      <c r="B782" s="21"/>
      <c r="C782" s="20"/>
    </row>
    <row r="783" spans="1:3" ht="12.75">
      <c r="A783" s="41"/>
      <c r="B783" s="21"/>
      <c r="C783" s="20"/>
    </row>
    <row r="784" spans="1:3" ht="12.75">
      <c r="A784" s="41"/>
      <c r="B784" s="21"/>
      <c r="C784" s="20"/>
    </row>
    <row r="785" spans="1:3" ht="12.75">
      <c r="A785" s="41"/>
      <c r="B785" s="21"/>
      <c r="C785" s="20"/>
    </row>
    <row r="786" spans="1:3" ht="12.75">
      <c r="A786" s="41"/>
      <c r="B786" s="21"/>
      <c r="C786" s="20"/>
    </row>
    <row r="787" spans="1:3" ht="12.75">
      <c r="A787" s="41"/>
      <c r="B787" s="21"/>
      <c r="C787" s="20"/>
    </row>
    <row r="788" spans="1:3" ht="12.75">
      <c r="A788" s="41"/>
      <c r="B788" s="21"/>
      <c r="C788" s="20"/>
    </row>
    <row r="789" spans="1:3" ht="12.75">
      <c r="A789" s="41"/>
      <c r="B789" s="22"/>
      <c r="C789" s="23"/>
    </row>
    <row r="790" spans="1:3" ht="12.75">
      <c r="A790" s="41"/>
      <c r="B790" s="21"/>
      <c r="C790" s="20"/>
    </row>
    <row r="791" spans="1:3" ht="15.75">
      <c r="A791" s="41"/>
      <c r="B791" s="27"/>
      <c r="C791" s="28"/>
    </row>
    <row r="792" spans="1:3" ht="15.75">
      <c r="A792" s="41"/>
      <c r="B792" s="27"/>
      <c r="C792" s="28"/>
    </row>
    <row r="793" spans="1:3" ht="12.75">
      <c r="A793" s="41"/>
      <c r="B793" s="22"/>
      <c r="C793" s="20"/>
    </row>
    <row r="794" spans="1:3" ht="15.75">
      <c r="A794" s="45"/>
      <c r="B794" s="27"/>
      <c r="C794" s="20"/>
    </row>
    <row r="795" spans="1:3" ht="12.75">
      <c r="A795" s="42"/>
      <c r="B795" s="22"/>
      <c r="C795" s="20"/>
    </row>
    <row r="796" spans="1:3" ht="12.75">
      <c r="A796" s="42"/>
      <c r="B796" s="22"/>
      <c r="C796" s="20"/>
    </row>
    <row r="797" spans="1:3" ht="12.75">
      <c r="A797" s="41"/>
      <c r="B797" s="21"/>
      <c r="C797" s="20"/>
    </row>
    <row r="798" spans="1:3" ht="12.75">
      <c r="A798" s="41"/>
      <c r="B798" s="21"/>
      <c r="C798" s="20"/>
    </row>
    <row r="799" spans="1:3" ht="12.75">
      <c r="A799" s="41"/>
      <c r="B799" s="21"/>
      <c r="C799" s="20"/>
    </row>
    <row r="800" spans="1:3" ht="12.75">
      <c r="A800" s="41"/>
      <c r="B800" s="21"/>
      <c r="C800" s="20"/>
    </row>
    <row r="801" spans="1:3" ht="12.75">
      <c r="A801" s="41"/>
      <c r="B801" s="22"/>
      <c r="C801" s="23"/>
    </row>
    <row r="802" spans="1:3" ht="12.75">
      <c r="A802" s="41"/>
      <c r="B802" s="21"/>
      <c r="C802" s="20"/>
    </row>
    <row r="803" spans="1:3" ht="12.75">
      <c r="A803" s="42"/>
      <c r="B803" s="22"/>
      <c r="C803" s="20"/>
    </row>
    <row r="804" spans="1:3" ht="12.75">
      <c r="A804" s="41"/>
      <c r="B804" s="21"/>
      <c r="C804" s="20"/>
    </row>
    <row r="805" spans="1:3" ht="12.75">
      <c r="A805" s="41"/>
      <c r="B805" s="21"/>
      <c r="C805" s="20"/>
    </row>
    <row r="806" spans="1:3" ht="12.75">
      <c r="A806" s="41"/>
      <c r="B806" s="21"/>
      <c r="C806" s="20"/>
    </row>
    <row r="807" spans="1:3" ht="12.75">
      <c r="A807" s="41"/>
      <c r="B807" s="21"/>
      <c r="C807" s="20"/>
    </row>
    <row r="808" spans="1:3" ht="12.75">
      <c r="A808" s="41"/>
      <c r="B808" s="21"/>
      <c r="C808" s="20"/>
    </row>
    <row r="809" spans="1:3" ht="12.75">
      <c r="A809" s="41"/>
      <c r="B809" s="21"/>
      <c r="C809" s="20"/>
    </row>
    <row r="810" spans="1:3" ht="12.75">
      <c r="A810" s="41"/>
      <c r="B810" s="21"/>
      <c r="C810" s="20"/>
    </row>
    <row r="811" spans="1:3" ht="12.75">
      <c r="A811" s="41"/>
      <c r="B811" s="44"/>
      <c r="C811" s="20"/>
    </row>
    <row r="812" spans="1:3" ht="12.75">
      <c r="A812" s="41"/>
      <c r="B812" s="21"/>
      <c r="C812" s="20"/>
    </row>
    <row r="813" spans="1:3" ht="12.75">
      <c r="A813" s="41"/>
      <c r="B813" s="21"/>
      <c r="C813" s="20"/>
    </row>
    <row r="814" spans="1:3" ht="12.75">
      <c r="A814" s="41"/>
      <c r="B814" s="21"/>
      <c r="C814" s="20"/>
    </row>
    <row r="815" spans="1:3" ht="12.75">
      <c r="A815" s="41"/>
      <c r="B815" s="21"/>
      <c r="C815" s="20"/>
    </row>
    <row r="816" spans="1:3" ht="12.75">
      <c r="A816" s="41"/>
      <c r="B816" s="21"/>
      <c r="C816" s="20"/>
    </row>
    <row r="817" spans="1:3" ht="12.75">
      <c r="A817" s="41"/>
      <c r="B817" s="22"/>
      <c r="C817" s="23"/>
    </row>
    <row r="818" spans="1:3" ht="12.75">
      <c r="A818" s="41"/>
      <c r="B818" s="22"/>
      <c r="C818" s="23"/>
    </row>
    <row r="819" spans="1:3" ht="12.75">
      <c r="A819" s="42"/>
      <c r="B819" s="22"/>
      <c r="C819" s="23"/>
    </row>
    <row r="820" spans="1:3" ht="12.75">
      <c r="A820" s="41"/>
      <c r="B820" s="21"/>
      <c r="C820" s="20"/>
    </row>
    <row r="821" spans="1:3" ht="12.75">
      <c r="A821" s="41"/>
      <c r="B821" s="21"/>
      <c r="C821" s="20"/>
    </row>
    <row r="822" spans="1:3" ht="12.75">
      <c r="A822" s="41"/>
      <c r="B822" s="22"/>
      <c r="C822" s="23"/>
    </row>
    <row r="823" spans="1:3" ht="12.75">
      <c r="A823" s="42"/>
      <c r="B823" s="22"/>
      <c r="C823" s="23"/>
    </row>
    <row r="824" spans="1:3" ht="15.75">
      <c r="A824" s="41"/>
      <c r="B824" s="27"/>
      <c r="C824" s="28"/>
    </row>
    <row r="825" spans="1:3" ht="12.75">
      <c r="A825" s="41"/>
      <c r="B825" s="21"/>
      <c r="C825" s="20"/>
    </row>
    <row r="826" spans="1:3" ht="12.75">
      <c r="A826" s="41"/>
      <c r="B826" s="22"/>
      <c r="C826" s="23"/>
    </row>
    <row r="827" spans="1:3" ht="15.75">
      <c r="A827" s="45"/>
      <c r="B827" s="27"/>
      <c r="C827" s="20"/>
    </row>
    <row r="828" spans="1:3" ht="12.75">
      <c r="A828" s="42"/>
      <c r="B828" s="22"/>
      <c r="C828" s="20"/>
    </row>
    <row r="829" spans="1:3" ht="12.75">
      <c r="A829" s="41"/>
      <c r="B829" s="21"/>
      <c r="C829" s="20"/>
    </row>
    <row r="830" spans="1:3" ht="12.75">
      <c r="A830" s="41"/>
      <c r="B830" s="21"/>
      <c r="C830" s="20"/>
    </row>
    <row r="831" spans="1:3" ht="12.75">
      <c r="A831" s="41"/>
      <c r="B831" s="21"/>
      <c r="C831" s="20"/>
    </row>
    <row r="832" spans="1:3" ht="12.75">
      <c r="A832" s="41"/>
      <c r="B832" s="21"/>
      <c r="C832" s="25"/>
    </row>
    <row r="833" spans="1:3" ht="12.75">
      <c r="A833" s="41"/>
      <c r="B833" s="21"/>
      <c r="C833" s="25"/>
    </row>
    <row r="834" spans="1:3" ht="12.75">
      <c r="A834" s="41"/>
      <c r="B834" s="21"/>
      <c r="C834" s="20"/>
    </row>
    <row r="835" spans="1:3" ht="12.75">
      <c r="A835" s="41"/>
      <c r="B835" s="21"/>
      <c r="C835" s="20"/>
    </row>
    <row r="836" spans="1:3" ht="12.75">
      <c r="A836" s="41"/>
      <c r="B836" s="21"/>
      <c r="C836" s="20"/>
    </row>
    <row r="837" spans="1:3" ht="12.75">
      <c r="A837" s="41"/>
      <c r="B837" s="21"/>
      <c r="C837" s="20"/>
    </row>
    <row r="838" spans="1:3" ht="12.75">
      <c r="A838" s="41"/>
      <c r="B838" s="21"/>
      <c r="C838" s="20"/>
    </row>
    <row r="839" spans="1:3" ht="12.75">
      <c r="A839" s="41"/>
      <c r="B839" s="21"/>
      <c r="C839" s="20"/>
    </row>
    <row r="840" spans="1:3" ht="12.75">
      <c r="A840" s="41"/>
      <c r="B840" s="21"/>
      <c r="C840" s="20"/>
    </row>
    <row r="841" spans="1:3" ht="12.75">
      <c r="A841" s="41"/>
      <c r="B841" s="21"/>
      <c r="C841" s="20"/>
    </row>
    <row r="842" spans="1:3" ht="12.75">
      <c r="A842" s="41"/>
      <c r="B842" s="21"/>
      <c r="C842" s="20"/>
    </row>
    <row r="843" spans="1:3" ht="12.75">
      <c r="A843" s="41"/>
      <c r="B843" s="21"/>
      <c r="C843" s="20"/>
    </row>
    <row r="844" spans="1:3" ht="12.75">
      <c r="A844" s="41"/>
      <c r="B844" s="21"/>
      <c r="C844" s="20"/>
    </row>
    <row r="845" spans="1:3" ht="15.75">
      <c r="A845" s="41"/>
      <c r="B845" s="27"/>
      <c r="C845" s="28"/>
    </row>
    <row r="846" spans="1:3" ht="12.75">
      <c r="A846" s="41"/>
      <c r="B846" s="22"/>
      <c r="C846" s="23"/>
    </row>
    <row r="847" spans="1:3" ht="12.75">
      <c r="A847" s="41"/>
      <c r="B847" s="22"/>
      <c r="C847" s="20"/>
    </row>
    <row r="848" spans="1:3" ht="15.75">
      <c r="A848" s="45"/>
      <c r="B848" s="27"/>
      <c r="C848" s="20"/>
    </row>
    <row r="849" spans="1:3" ht="12.75">
      <c r="A849" s="42"/>
      <c r="B849" s="22"/>
      <c r="C849" s="20"/>
    </row>
    <row r="850" spans="1:3" ht="12.75">
      <c r="A850" s="42"/>
      <c r="B850" s="22"/>
      <c r="C850" s="20"/>
    </row>
    <row r="851" spans="1:3" ht="12.75">
      <c r="A851" s="41"/>
      <c r="B851" s="21"/>
      <c r="C851" s="20"/>
    </row>
    <row r="852" spans="1:3" ht="12.75">
      <c r="A852" s="41"/>
      <c r="B852" s="21"/>
      <c r="C852" s="20"/>
    </row>
    <row r="853" spans="1:3" ht="12.75">
      <c r="A853" s="41"/>
      <c r="B853" s="21"/>
      <c r="C853" s="20"/>
    </row>
    <row r="854" spans="1:3" ht="12.75">
      <c r="A854" s="41"/>
      <c r="B854" s="21"/>
      <c r="C854" s="20"/>
    </row>
    <row r="855" spans="1:3" ht="12.75">
      <c r="A855" s="41"/>
      <c r="B855" s="21"/>
      <c r="C855" s="20"/>
    </row>
    <row r="856" spans="1:3" ht="12.75">
      <c r="A856" s="49"/>
      <c r="B856" s="44"/>
      <c r="C856" s="20"/>
    </row>
    <row r="857" spans="1:3" ht="12.75">
      <c r="A857" s="41"/>
      <c r="B857" s="22"/>
      <c r="C857" s="23"/>
    </row>
    <row r="858" spans="1:3" ht="12.75">
      <c r="A858" s="41"/>
      <c r="B858" s="21"/>
      <c r="C858" s="20"/>
    </row>
    <row r="859" spans="1:3" ht="12.75">
      <c r="A859" s="42"/>
      <c r="B859" s="22"/>
      <c r="C859" s="20"/>
    </row>
    <row r="860" spans="1:3" ht="12.75">
      <c r="A860" s="41"/>
      <c r="B860" s="21"/>
      <c r="C860" s="20"/>
    </row>
    <row r="861" spans="1:3" ht="12.75">
      <c r="A861" s="41"/>
      <c r="B861" s="21"/>
      <c r="C861" s="20"/>
    </row>
    <row r="862" spans="1:3" ht="12.75">
      <c r="A862" s="41"/>
      <c r="B862" s="21"/>
      <c r="C862" s="20"/>
    </row>
    <row r="863" spans="1:3" ht="12.75">
      <c r="A863" s="41"/>
      <c r="B863" s="21"/>
      <c r="C863" s="20"/>
    </row>
    <row r="864" spans="1:3" ht="12.75">
      <c r="A864" s="41"/>
      <c r="B864" s="21"/>
      <c r="C864" s="20"/>
    </row>
    <row r="865" spans="1:3" ht="12.75">
      <c r="A865" s="41"/>
      <c r="B865" s="22"/>
      <c r="C865" s="23"/>
    </row>
    <row r="866" spans="1:3" ht="12.75">
      <c r="A866" s="41"/>
      <c r="B866" s="21"/>
      <c r="C866" s="20"/>
    </row>
    <row r="867" spans="1:3" ht="12.75">
      <c r="A867" s="42"/>
      <c r="B867" s="22"/>
      <c r="C867" s="20"/>
    </row>
    <row r="868" spans="1:3" ht="12.75">
      <c r="A868" s="41"/>
      <c r="B868" s="44"/>
      <c r="C868" s="20"/>
    </row>
    <row r="869" spans="1:3" ht="12.75">
      <c r="A869" s="41"/>
      <c r="B869" s="21"/>
      <c r="C869" s="20"/>
    </row>
    <row r="870" spans="1:3" ht="12.75">
      <c r="A870" s="41"/>
      <c r="B870" s="21"/>
      <c r="C870" s="20"/>
    </row>
    <row r="871" spans="1:3" ht="12.75">
      <c r="A871" s="41"/>
      <c r="B871" s="21"/>
      <c r="C871" s="20"/>
    </row>
    <row r="872" spans="1:3" ht="12.75">
      <c r="A872" s="41"/>
      <c r="B872" s="21"/>
      <c r="C872" s="20"/>
    </row>
    <row r="873" spans="1:3" ht="12.75">
      <c r="A873" s="41"/>
      <c r="B873" s="21"/>
      <c r="C873" s="20"/>
    </row>
    <row r="874" spans="1:3" ht="12.75">
      <c r="A874" s="41"/>
      <c r="B874" s="21"/>
      <c r="C874" s="20"/>
    </row>
    <row r="875" spans="1:3" ht="12.75">
      <c r="A875" s="41"/>
      <c r="B875" s="21"/>
      <c r="C875" s="20"/>
    </row>
    <row r="876" spans="1:3" ht="12.75">
      <c r="A876" s="41"/>
      <c r="B876" s="21"/>
      <c r="C876" s="20"/>
    </row>
    <row r="877" spans="1:3" ht="12.75">
      <c r="A877" s="41"/>
      <c r="B877" s="21"/>
      <c r="C877" s="20"/>
    </row>
    <row r="878" spans="1:3" ht="12.75">
      <c r="A878" s="41"/>
      <c r="B878" s="22"/>
      <c r="C878" s="23"/>
    </row>
    <row r="879" spans="1:3" ht="12.75">
      <c r="A879" s="41"/>
      <c r="B879" s="21"/>
      <c r="C879" s="20"/>
    </row>
    <row r="880" spans="1:3" ht="15.75">
      <c r="A880" s="41"/>
      <c r="B880" s="27"/>
      <c r="C880" s="50"/>
    </row>
    <row r="881" spans="1:3" ht="15.75">
      <c r="A881" s="41"/>
      <c r="B881" s="27"/>
      <c r="C881" s="50"/>
    </row>
    <row r="882" spans="1:3" ht="12.75">
      <c r="A882" s="41"/>
      <c r="B882" s="22"/>
      <c r="C882" s="20"/>
    </row>
    <row r="883" spans="1:3" ht="15.75">
      <c r="A883" s="45"/>
      <c r="B883" s="27"/>
      <c r="C883" s="20"/>
    </row>
    <row r="884" spans="1:3" ht="12.75">
      <c r="A884" s="42"/>
      <c r="B884" s="22"/>
      <c r="C884" s="20"/>
    </row>
    <row r="885" spans="1:3" ht="12.75">
      <c r="A885" s="42"/>
      <c r="B885" s="22"/>
      <c r="C885" s="20"/>
    </row>
    <row r="886" spans="1:3" ht="12.75">
      <c r="A886" s="41"/>
      <c r="B886" s="21"/>
      <c r="C886" s="20"/>
    </row>
    <row r="887" spans="1:3" ht="12.75">
      <c r="A887" s="41"/>
      <c r="B887" s="21"/>
      <c r="C887" s="20"/>
    </row>
    <row r="888" spans="1:3" ht="12.75">
      <c r="A888" s="41"/>
      <c r="B888" s="21"/>
      <c r="C888" s="20"/>
    </row>
    <row r="889" spans="1:3" ht="12.75">
      <c r="A889" s="41"/>
      <c r="B889" s="21"/>
      <c r="C889" s="20"/>
    </row>
    <row r="890" spans="1:3" ht="12.75">
      <c r="A890" s="41"/>
      <c r="B890" s="21"/>
      <c r="C890" s="20"/>
    </row>
    <row r="891" spans="1:3" ht="12.75">
      <c r="A891" s="41"/>
      <c r="B891" s="22"/>
      <c r="C891" s="23"/>
    </row>
    <row r="892" spans="1:3" ht="12.75">
      <c r="A892" s="41"/>
      <c r="B892" s="21"/>
      <c r="C892" s="20"/>
    </row>
    <row r="893" spans="1:3" ht="12.75">
      <c r="A893" s="42"/>
      <c r="B893" s="22"/>
      <c r="C893" s="20"/>
    </row>
    <row r="894" spans="1:3" ht="12.75">
      <c r="A894" s="41"/>
      <c r="B894" s="21"/>
      <c r="C894" s="20"/>
    </row>
    <row r="895" spans="1:3" ht="12.75">
      <c r="A895" s="41"/>
      <c r="B895" s="21"/>
      <c r="C895" s="20"/>
    </row>
    <row r="896" spans="1:3" ht="12.75">
      <c r="A896" s="41"/>
      <c r="B896" s="21"/>
      <c r="C896" s="20"/>
    </row>
    <row r="897" spans="1:3" ht="12.75">
      <c r="A897" s="41"/>
      <c r="B897" s="22"/>
      <c r="C897" s="23"/>
    </row>
    <row r="898" spans="1:3" ht="12.75">
      <c r="A898" s="41"/>
      <c r="B898" s="22"/>
      <c r="C898" s="20"/>
    </row>
    <row r="899" spans="1:3" ht="12.75">
      <c r="A899" s="42"/>
      <c r="B899" s="22"/>
      <c r="C899" s="20"/>
    </row>
    <row r="900" spans="1:3" ht="12.75">
      <c r="A900" s="41"/>
      <c r="B900" s="21"/>
      <c r="C900" s="20"/>
    </row>
    <row r="901" spans="1:3" ht="12.75">
      <c r="A901" s="41"/>
      <c r="B901" s="21"/>
      <c r="C901" s="20"/>
    </row>
    <row r="902" spans="1:3" ht="12.75">
      <c r="A902" s="41"/>
      <c r="B902" s="21"/>
      <c r="C902" s="20"/>
    </row>
    <row r="903" spans="1:3" ht="12.75">
      <c r="A903" s="41"/>
      <c r="B903" s="22"/>
      <c r="C903" s="23"/>
    </row>
    <row r="904" spans="1:3" ht="12.75">
      <c r="A904" s="41"/>
      <c r="B904" s="21"/>
      <c r="C904" s="20"/>
    </row>
    <row r="905" spans="1:3" ht="12.75">
      <c r="A905" s="42"/>
      <c r="B905" s="22"/>
      <c r="C905" s="20"/>
    </row>
    <row r="906" spans="1:3" ht="12.75">
      <c r="A906" s="41"/>
      <c r="B906" s="21"/>
      <c r="C906" s="20"/>
    </row>
    <row r="907" spans="1:3" ht="12.75">
      <c r="A907" s="41"/>
      <c r="B907" s="21"/>
      <c r="C907" s="20"/>
    </row>
    <row r="908" spans="1:3" ht="12.75">
      <c r="A908" s="41"/>
      <c r="B908" s="22"/>
      <c r="C908" s="23"/>
    </row>
    <row r="909" spans="1:3" ht="12.75">
      <c r="A909" s="41"/>
      <c r="B909" s="21"/>
      <c r="C909" s="20"/>
    </row>
    <row r="910" spans="1:3" ht="15.75">
      <c r="A910" s="41"/>
      <c r="B910" s="27"/>
      <c r="C910" s="28"/>
    </row>
    <row r="911" spans="1:3" ht="12.75">
      <c r="A911" s="41"/>
      <c r="B911" s="22"/>
      <c r="C911" s="20"/>
    </row>
    <row r="912" spans="1:3" ht="12.75">
      <c r="A912" s="41"/>
      <c r="B912" s="22"/>
      <c r="C912" s="20"/>
    </row>
    <row r="913" spans="1:3" ht="15.75">
      <c r="A913" s="45"/>
      <c r="B913" s="27"/>
      <c r="C913" s="20"/>
    </row>
    <row r="914" spans="1:3" ht="12.75">
      <c r="A914" s="42"/>
      <c r="B914" s="22"/>
      <c r="C914" s="20"/>
    </row>
    <row r="915" spans="1:3" ht="12.75">
      <c r="A915" s="41"/>
      <c r="B915" s="21"/>
      <c r="C915" s="20"/>
    </row>
    <row r="916" spans="1:3" ht="12.75">
      <c r="A916" s="41"/>
      <c r="B916" s="21"/>
      <c r="C916" s="20"/>
    </row>
    <row r="917" spans="1:3" ht="12.75">
      <c r="A917" s="41"/>
      <c r="B917" s="21"/>
      <c r="C917" s="20"/>
    </row>
    <row r="918" spans="1:3" ht="12.75">
      <c r="A918" s="41"/>
      <c r="B918" s="21"/>
      <c r="C918" s="20"/>
    </row>
    <row r="919" spans="1:3" ht="12.75">
      <c r="A919" s="41"/>
      <c r="B919" s="21"/>
      <c r="C919" s="20"/>
    </row>
    <row r="920" spans="1:3" ht="12.75">
      <c r="A920" s="41"/>
      <c r="B920" s="21"/>
      <c r="C920" s="20"/>
    </row>
    <row r="921" spans="1:3" ht="12.75">
      <c r="A921" s="41"/>
      <c r="B921" s="21"/>
      <c r="C921" s="20"/>
    </row>
    <row r="922" spans="1:3" ht="12.75">
      <c r="A922" s="41"/>
      <c r="B922" s="43"/>
      <c r="C922" s="20"/>
    </row>
    <row r="923" spans="1:3" ht="15.75">
      <c r="A923" s="41"/>
      <c r="B923" s="27"/>
      <c r="C923" s="28"/>
    </row>
    <row r="924" spans="1:3" ht="15.75">
      <c r="A924" s="41"/>
      <c r="B924" s="27"/>
      <c r="C924" s="28"/>
    </row>
    <row r="925" spans="1:3" ht="12.75">
      <c r="A925" s="41"/>
      <c r="B925" s="22"/>
      <c r="C925" s="20"/>
    </row>
    <row r="926" spans="1:3" ht="15.75">
      <c r="A926" s="45"/>
      <c r="B926" s="27"/>
      <c r="C926" s="20"/>
    </row>
    <row r="927" spans="1:3" ht="12.75">
      <c r="A927" s="42"/>
      <c r="B927" s="22"/>
      <c r="C927" s="20"/>
    </row>
    <row r="928" spans="1:3" ht="12.75">
      <c r="A928" s="41"/>
      <c r="B928" s="21"/>
      <c r="C928" s="20"/>
    </row>
    <row r="929" spans="1:3" ht="12.75">
      <c r="A929" s="41"/>
      <c r="B929" s="21"/>
      <c r="C929" s="20"/>
    </row>
    <row r="930" spans="1:3" ht="15.75">
      <c r="A930" s="41"/>
      <c r="B930" s="27"/>
      <c r="C930" s="28"/>
    </row>
    <row r="931" spans="1:3" ht="12.75">
      <c r="A931" s="41"/>
      <c r="B931" s="22"/>
      <c r="C931" s="20"/>
    </row>
    <row r="932" spans="1:3" ht="15.75">
      <c r="A932" s="45"/>
      <c r="B932" s="27"/>
      <c r="C932" s="20"/>
    </row>
    <row r="933" spans="1:3" ht="12.75">
      <c r="A933" s="42"/>
      <c r="B933" s="22"/>
      <c r="C933" s="20"/>
    </row>
    <row r="934" spans="1:3" ht="12.75">
      <c r="A934" s="41"/>
      <c r="B934" s="21"/>
      <c r="C934" s="20"/>
    </row>
    <row r="935" spans="1:3" ht="12.75">
      <c r="A935" s="41"/>
      <c r="B935" s="21"/>
      <c r="C935" s="20"/>
    </row>
    <row r="936" spans="1:3" ht="15">
      <c r="A936" s="41"/>
      <c r="B936" s="51"/>
      <c r="C936" s="20"/>
    </row>
    <row r="937" spans="1:3" ht="15.75">
      <c r="A937" s="41"/>
      <c r="B937" s="27"/>
      <c r="C937" s="28"/>
    </row>
    <row r="938" spans="1:3" ht="12.75">
      <c r="A938" s="41"/>
      <c r="B938" s="21"/>
      <c r="C938" s="20"/>
    </row>
    <row r="939" spans="1:3" ht="12.75">
      <c r="A939" s="41"/>
      <c r="B939" s="21"/>
      <c r="C939" s="20"/>
    </row>
    <row r="940" spans="1:3" ht="15.75">
      <c r="A940" s="41"/>
      <c r="B940" s="27"/>
      <c r="C940" s="52"/>
    </row>
    <row r="941" spans="1:3" ht="12.75">
      <c r="A941" s="2"/>
      <c r="B941" s="2"/>
      <c r="C941" s="2"/>
    </row>
    <row r="942" spans="1:3" ht="12.75">
      <c r="A942" s="2"/>
      <c r="B942" s="2"/>
      <c r="C942" s="2"/>
    </row>
    <row r="943" spans="1:3" ht="12.75">
      <c r="A943" s="2"/>
      <c r="B943" s="2"/>
      <c r="C943" s="2"/>
    </row>
    <row r="944" spans="1:3" ht="12.75">
      <c r="A944" s="2"/>
      <c r="B944" s="2"/>
      <c r="C944" s="2"/>
    </row>
    <row r="945" spans="1:3" ht="12.75">
      <c r="A945" s="2"/>
      <c r="B945" s="2"/>
      <c r="C945" s="2"/>
    </row>
    <row r="946" spans="1:3" ht="12.75">
      <c r="A946" s="2"/>
      <c r="B946" s="2"/>
      <c r="C946" s="2"/>
    </row>
    <row r="947" spans="1:3" ht="12.75">
      <c r="A947" s="2"/>
      <c r="B947" s="2"/>
      <c r="C947" s="2"/>
    </row>
    <row r="948" spans="1:3" ht="12.75">
      <c r="A948" s="2"/>
      <c r="B948" s="2"/>
      <c r="C948" s="2"/>
    </row>
    <row r="949" spans="1:3" ht="12.75">
      <c r="A949" s="2"/>
      <c r="B949" s="2"/>
      <c r="C949" s="2"/>
    </row>
    <row r="950" spans="1:3" ht="12.75">
      <c r="A950" s="2"/>
      <c r="B950" s="2"/>
      <c r="C950" s="2"/>
    </row>
    <row r="951" spans="1:3" ht="12.75">
      <c r="A951" s="2"/>
      <c r="B951" s="2"/>
      <c r="C951" s="2"/>
    </row>
    <row r="952" spans="1:3" ht="12.75">
      <c r="A952" s="2"/>
      <c r="B952" s="2"/>
      <c r="C952" s="2"/>
    </row>
    <row r="953" spans="1:3" ht="12.75">
      <c r="A953" s="2"/>
      <c r="B953" s="2"/>
      <c r="C953" s="2"/>
    </row>
    <row r="954" spans="1:3" ht="12.75">
      <c r="A954" s="2"/>
      <c r="B954" s="2"/>
      <c r="C954" s="2"/>
    </row>
    <row r="955" spans="1:3" ht="12.75">
      <c r="A955" s="2"/>
      <c r="B955" s="2"/>
      <c r="C955" s="2"/>
    </row>
    <row r="956" spans="1:3" ht="12.75">
      <c r="A956" s="2"/>
      <c r="B956" s="2"/>
      <c r="C956" s="2"/>
    </row>
    <row r="957" spans="1:3" ht="12.75">
      <c r="A957" s="2"/>
      <c r="B957" s="2"/>
      <c r="C957" s="2"/>
    </row>
    <row r="958" spans="1:3" ht="12.75">
      <c r="A958" s="2"/>
      <c r="B958" s="2"/>
      <c r="C958" s="2"/>
    </row>
    <row r="959" spans="1:3" ht="12.75">
      <c r="A959" s="2"/>
      <c r="B959" s="2"/>
      <c r="C959" s="2"/>
    </row>
    <row r="960" spans="1:3" ht="12.75">
      <c r="A960" s="2"/>
      <c r="B960" s="2"/>
      <c r="C960" s="2"/>
    </row>
    <row r="961" spans="1:3" ht="12.75">
      <c r="A961" s="2"/>
      <c r="B961" s="2"/>
      <c r="C961" s="2"/>
    </row>
    <row r="962" spans="1:3" ht="12.75">
      <c r="A962" s="2"/>
      <c r="B962" s="2"/>
      <c r="C962" s="2"/>
    </row>
    <row r="963" spans="1:3" ht="12.75">
      <c r="A963" s="2"/>
      <c r="B963" s="2"/>
      <c r="C963" s="2"/>
    </row>
    <row r="964" spans="1:3" ht="12.75">
      <c r="A964" s="2"/>
      <c r="B964" s="2"/>
      <c r="C964" s="2"/>
    </row>
    <row r="965" spans="1:3" ht="12.75">
      <c r="A965" s="2"/>
      <c r="B965" s="2"/>
      <c r="C965" s="2"/>
    </row>
    <row r="966" spans="1:3" ht="12.75">
      <c r="A966" s="2"/>
      <c r="B966" s="2"/>
      <c r="C966" s="2"/>
    </row>
    <row r="967" spans="1:3" ht="12.75">
      <c r="A967" s="2"/>
      <c r="B967" s="2"/>
      <c r="C967" s="2"/>
    </row>
    <row r="968" spans="1:3" ht="12.75">
      <c r="A968" s="2"/>
      <c r="B968" s="2"/>
      <c r="C968" s="2"/>
    </row>
    <row r="969" spans="1:3" ht="12.75">
      <c r="A969" s="2"/>
      <c r="B969" s="2"/>
      <c r="C969" s="2"/>
    </row>
    <row r="970" spans="1:3" ht="12.75">
      <c r="A970" s="2"/>
      <c r="B970" s="2"/>
      <c r="C970" s="2"/>
    </row>
    <row r="971" spans="1:3" ht="12.75">
      <c r="A971" s="2"/>
      <c r="B971" s="2"/>
      <c r="C971" s="2"/>
    </row>
    <row r="972" spans="1:3" ht="12.75">
      <c r="A972" s="2"/>
      <c r="B972" s="2"/>
      <c r="C972" s="2"/>
    </row>
    <row r="973" spans="1:3" ht="12.75">
      <c r="A973" s="2"/>
      <c r="B973" s="2"/>
      <c r="C973" s="2"/>
    </row>
    <row r="974" spans="1:3" ht="12.75">
      <c r="A974" s="2"/>
      <c r="B974" s="2"/>
      <c r="C974" s="2"/>
    </row>
    <row r="975" spans="1:3" ht="12.75">
      <c r="A975" s="2"/>
      <c r="B975" s="2"/>
      <c r="C975" s="2"/>
    </row>
    <row r="976" spans="1:3" ht="12.75">
      <c r="A976" s="2"/>
      <c r="B976" s="2"/>
      <c r="C976" s="2"/>
    </row>
    <row r="977" spans="1:3" ht="12.75">
      <c r="A977" s="2"/>
      <c r="B977" s="2"/>
      <c r="C977" s="2"/>
    </row>
    <row r="978" spans="1:3" ht="12.75">
      <c r="A978" s="2"/>
      <c r="B978" s="2"/>
      <c r="C978" s="2"/>
    </row>
    <row r="979" spans="1:3" ht="12.75">
      <c r="A979" s="2"/>
      <c r="B979" s="2"/>
      <c r="C979" s="2"/>
    </row>
    <row r="980" spans="1:3" ht="12.75">
      <c r="A980" s="2"/>
      <c r="B980" s="2"/>
      <c r="C980" s="2"/>
    </row>
    <row r="981" spans="1:3" ht="12.75">
      <c r="A981" s="2"/>
      <c r="B981" s="2"/>
      <c r="C981" s="2"/>
    </row>
    <row r="982" spans="1:3" ht="12.75">
      <c r="A982" s="2"/>
      <c r="B982" s="2"/>
      <c r="C982" s="2"/>
    </row>
    <row r="983" spans="1:3" ht="12.75">
      <c r="A983" s="2"/>
      <c r="B983" s="2"/>
      <c r="C983" s="2"/>
    </row>
    <row r="984" spans="1:3" ht="12.75">
      <c r="A984" s="2"/>
      <c r="B984" s="2"/>
      <c r="C984" s="2"/>
    </row>
    <row r="985" spans="1:3" ht="12.75">
      <c r="A985" s="2"/>
      <c r="B985" s="2"/>
      <c r="C985" s="2"/>
    </row>
    <row r="986" spans="1:3" ht="12.75">
      <c r="A986" s="2"/>
      <c r="B986" s="2"/>
      <c r="C986" s="2"/>
    </row>
    <row r="987" spans="1:3" ht="12.75">
      <c r="A987" s="2"/>
      <c r="B987" s="2"/>
      <c r="C987" s="2"/>
    </row>
    <row r="988" spans="1:3" ht="12.75">
      <c r="A988" s="2"/>
      <c r="B988" s="2"/>
      <c r="C988" s="2"/>
    </row>
    <row r="989" spans="1:3" ht="12.75">
      <c r="A989" s="2"/>
      <c r="B989" s="2"/>
      <c r="C989" s="2"/>
    </row>
    <row r="990" spans="1:3" ht="12.75">
      <c r="A990" s="2"/>
      <c r="B990" s="2"/>
      <c r="C990" s="2"/>
    </row>
    <row r="991" spans="1:3" ht="12.75">
      <c r="A991" s="2"/>
      <c r="B991" s="2"/>
      <c r="C991" s="2"/>
    </row>
    <row r="992" spans="1:3" ht="12.75">
      <c r="A992" s="2"/>
      <c r="B992" s="2"/>
      <c r="C992" s="2"/>
    </row>
    <row r="993" spans="1:3" ht="12.75">
      <c r="A993" s="2"/>
      <c r="B993" s="2"/>
      <c r="C993" s="2"/>
    </row>
    <row r="994" spans="1:3" ht="12.75">
      <c r="A994" s="2"/>
      <c r="B994" s="2"/>
      <c r="C994" s="2"/>
    </row>
    <row r="995" spans="1:3" ht="12.75">
      <c r="A995" s="2"/>
      <c r="B995" s="2"/>
      <c r="C995" s="2"/>
    </row>
    <row r="996" spans="1:3" ht="12.75">
      <c r="A996" s="2"/>
      <c r="B996" s="2"/>
      <c r="C996" s="2"/>
    </row>
    <row r="997" spans="1:3" ht="12.75">
      <c r="A997" s="2"/>
      <c r="B997" s="2"/>
      <c r="C997" s="2"/>
    </row>
    <row r="998" spans="1:3" ht="12.75">
      <c r="A998" s="2"/>
      <c r="B998" s="2"/>
      <c r="C998" s="2"/>
    </row>
    <row r="999" spans="1:3" ht="12.75">
      <c r="A999" s="2"/>
      <c r="B999" s="2"/>
      <c r="C999" s="2"/>
    </row>
    <row r="1000" spans="1:3" ht="12.75">
      <c r="A1000" s="2"/>
      <c r="B1000" s="2"/>
      <c r="C1000" s="2"/>
    </row>
    <row r="1001" spans="1:3" ht="12.75">
      <c r="A1001" s="2"/>
      <c r="B1001" s="2"/>
      <c r="C1001" s="2"/>
    </row>
    <row r="1002" spans="1:3" ht="12.75">
      <c r="A1002" s="2"/>
      <c r="B1002" s="2"/>
      <c r="C1002" s="2"/>
    </row>
    <row r="1003" spans="1:3" ht="12.75">
      <c r="A1003" s="2"/>
      <c r="B1003" s="2"/>
      <c r="C1003" s="2"/>
    </row>
    <row r="1004" spans="1:3" ht="12.75">
      <c r="A1004" s="2"/>
      <c r="B1004" s="2"/>
      <c r="C1004" s="2"/>
    </row>
    <row r="1005" spans="1:3" ht="12.75">
      <c r="A1005" s="2"/>
      <c r="B1005" s="2"/>
      <c r="C1005" s="2"/>
    </row>
    <row r="1006" spans="1:3" ht="12.75">
      <c r="A1006" s="2"/>
      <c r="B1006" s="2"/>
      <c r="C1006" s="2"/>
    </row>
    <row r="1007" spans="1:3" ht="12.75">
      <c r="A1007" s="2"/>
      <c r="B1007" s="2"/>
      <c r="C1007" s="2"/>
    </row>
    <row r="1008" spans="1:3" ht="12.75">
      <c r="A1008" s="2"/>
      <c r="B1008" s="2"/>
      <c r="C1008" s="2"/>
    </row>
    <row r="1009" spans="1:3" ht="12.75">
      <c r="A1009" s="2"/>
      <c r="B1009" s="2"/>
      <c r="C1009" s="2"/>
    </row>
    <row r="1010" spans="1:3" ht="12.75">
      <c r="A1010" s="2"/>
      <c r="B1010" s="2"/>
      <c r="C1010" s="2"/>
    </row>
    <row r="1011" spans="1:3" ht="12.75">
      <c r="A1011" s="2"/>
      <c r="B1011" s="2"/>
      <c r="C1011" s="2"/>
    </row>
    <row r="1012" spans="1:3" ht="12.75">
      <c r="A1012" s="2"/>
      <c r="B1012" s="2"/>
      <c r="C1012" s="2"/>
    </row>
    <row r="1013" spans="1:3" ht="12.75">
      <c r="A1013" s="2"/>
      <c r="B1013" s="2"/>
      <c r="C1013" s="2"/>
    </row>
    <row r="1014" spans="1:3" ht="12.75">
      <c r="A1014" s="2"/>
      <c r="B1014" s="2"/>
      <c r="C1014" s="2"/>
    </row>
    <row r="1015" spans="1:3" ht="12.75">
      <c r="A1015" s="2"/>
      <c r="B1015" s="2"/>
      <c r="C1015" s="2"/>
    </row>
    <row r="1016" spans="1:3" ht="12.75">
      <c r="A1016" s="2"/>
      <c r="B1016" s="2"/>
      <c r="C1016" s="2"/>
    </row>
    <row r="1017" spans="1:3" ht="12.75">
      <c r="A1017" s="2"/>
      <c r="B1017" s="2"/>
      <c r="C1017" s="2"/>
    </row>
    <row r="1018" spans="1:3" ht="12.75">
      <c r="A1018" s="2"/>
      <c r="B1018" s="2"/>
      <c r="C1018" s="2"/>
    </row>
    <row r="1019" spans="1:3" ht="12.75">
      <c r="A1019" s="2"/>
      <c r="B1019" s="2"/>
      <c r="C1019" s="2"/>
    </row>
    <row r="1020" spans="1:3" ht="12.75">
      <c r="A1020" s="2"/>
      <c r="B1020" s="2"/>
      <c r="C1020" s="2"/>
    </row>
    <row r="1021" spans="1:3" ht="12.75">
      <c r="A1021" s="2"/>
      <c r="B1021" s="2"/>
      <c r="C1021" s="2"/>
    </row>
    <row r="1022" spans="1:3" ht="12.75">
      <c r="A1022" s="2"/>
      <c r="B1022" s="2"/>
      <c r="C1022" s="2"/>
    </row>
    <row r="1023" spans="1:3" ht="12.75">
      <c r="A1023" s="2"/>
      <c r="B1023" s="2"/>
      <c r="C1023" s="2"/>
    </row>
    <row r="1024" spans="1:3" ht="12.75">
      <c r="A1024" s="2"/>
      <c r="B1024" s="2"/>
      <c r="C1024" s="2"/>
    </row>
    <row r="1025" spans="1:3" ht="12.75">
      <c r="A1025" s="2"/>
      <c r="B1025" s="2"/>
      <c r="C1025" s="2"/>
    </row>
    <row r="1026" spans="1:3" ht="12.75">
      <c r="A1026" s="2"/>
      <c r="B1026" s="2"/>
      <c r="C1026" s="2"/>
    </row>
    <row r="1027" spans="1:3" ht="12.75">
      <c r="A1027" s="2"/>
      <c r="B1027" s="2"/>
      <c r="C1027" s="2"/>
    </row>
    <row r="1028" spans="1:3" ht="12.75">
      <c r="A1028" s="2"/>
      <c r="B1028" s="2"/>
      <c r="C1028" s="2"/>
    </row>
    <row r="1029" spans="1:3" ht="12.75">
      <c r="A1029" s="2"/>
      <c r="B1029" s="2"/>
      <c r="C1029" s="2"/>
    </row>
    <row r="1030" spans="1:3" ht="12.75">
      <c r="A1030" s="2"/>
      <c r="B1030" s="2"/>
      <c r="C1030" s="2"/>
    </row>
    <row r="1031" spans="1:3" ht="12.75">
      <c r="A1031" s="2"/>
      <c r="B1031" s="2"/>
      <c r="C1031" s="2"/>
    </row>
    <row r="1032" spans="1:3" ht="12.75">
      <c r="A1032" s="2"/>
      <c r="B1032" s="2"/>
      <c r="C1032" s="2"/>
    </row>
    <row r="1033" spans="1:3" ht="12.75">
      <c r="A1033" s="2"/>
      <c r="B1033" s="2"/>
      <c r="C1033" s="2"/>
    </row>
    <row r="1034" spans="1:3" ht="12.75">
      <c r="A1034" s="2"/>
      <c r="B1034" s="2"/>
      <c r="C1034" s="2"/>
    </row>
    <row r="1035" spans="1:3" ht="12.75">
      <c r="A1035" s="2"/>
      <c r="B1035" s="2"/>
      <c r="C1035" s="2"/>
    </row>
    <row r="1036" spans="1:3" ht="12.75">
      <c r="A1036" s="2"/>
      <c r="B1036" s="2"/>
      <c r="C1036" s="2"/>
    </row>
    <row r="1037" spans="1:3" ht="12.75">
      <c r="A1037" s="2"/>
      <c r="B1037" s="2"/>
      <c r="C1037" s="2"/>
    </row>
    <row r="1038" spans="1:3" ht="12.75">
      <c r="A1038" s="2"/>
      <c r="B1038" s="2"/>
      <c r="C1038" s="2"/>
    </row>
    <row r="1039" spans="1:3" ht="12.75">
      <c r="A1039" s="2"/>
      <c r="B1039" s="2"/>
      <c r="C1039" s="2"/>
    </row>
    <row r="1040" spans="1:3" ht="12.75">
      <c r="A1040" s="2"/>
      <c r="B1040" s="2"/>
      <c r="C1040" s="2"/>
    </row>
    <row r="1041" spans="1:3" ht="12.75">
      <c r="A1041" s="2"/>
      <c r="B1041" s="2"/>
      <c r="C1041" s="2"/>
    </row>
    <row r="1042" spans="1:3" ht="12.75">
      <c r="A1042" s="2"/>
      <c r="B1042" s="2"/>
      <c r="C1042" s="2"/>
    </row>
    <row r="1043" spans="1:3" ht="12.75">
      <c r="A1043" s="2"/>
      <c r="B1043" s="2"/>
      <c r="C1043" s="2"/>
    </row>
    <row r="1044" spans="1:3" ht="12.75">
      <c r="A1044" s="2"/>
      <c r="B1044" s="2"/>
      <c r="C1044" s="2"/>
    </row>
    <row r="1045" spans="1:3" ht="12.75">
      <c r="A1045" s="2"/>
      <c r="B1045" s="2"/>
      <c r="C1045" s="2"/>
    </row>
    <row r="1046" spans="1:3" ht="12.75">
      <c r="A1046" s="2"/>
      <c r="B1046" s="2"/>
      <c r="C1046" s="2"/>
    </row>
    <row r="1047" spans="1:3" ht="12.75">
      <c r="A1047" s="2"/>
      <c r="B1047" s="2"/>
      <c r="C1047" s="2"/>
    </row>
    <row r="1048" spans="1:3" ht="12.75">
      <c r="A1048" s="2"/>
      <c r="B1048" s="2"/>
      <c r="C1048" s="2"/>
    </row>
    <row r="1049" spans="1:3" ht="12.75">
      <c r="A1049" s="2"/>
      <c r="B1049" s="2"/>
      <c r="C1049" s="2"/>
    </row>
    <row r="1050" spans="1:3" ht="12.75">
      <c r="A1050" s="2"/>
      <c r="B1050" s="2"/>
      <c r="C1050" s="2"/>
    </row>
    <row r="1051" spans="1:3" ht="12.75">
      <c r="A1051" s="2"/>
      <c r="B1051" s="2"/>
      <c r="C1051" s="2"/>
    </row>
    <row r="1052" spans="1:3" ht="12.75">
      <c r="A1052" s="2"/>
      <c r="B1052" s="2"/>
      <c r="C1052" s="2"/>
    </row>
    <row r="1053" spans="1:3" ht="12.75">
      <c r="A1053" s="2"/>
      <c r="B1053" s="2"/>
      <c r="C1053" s="2"/>
    </row>
    <row r="1054" spans="1:3" ht="12.75">
      <c r="A1054" s="2"/>
      <c r="B1054" s="2"/>
      <c r="C1054" s="2"/>
    </row>
    <row r="1055" spans="1:3" ht="12.75">
      <c r="A1055" s="2"/>
      <c r="B1055" s="2"/>
      <c r="C1055" s="2"/>
    </row>
    <row r="1056" spans="1:3" ht="12.75">
      <c r="A1056" s="2"/>
      <c r="B1056" s="2"/>
      <c r="C1056" s="2"/>
    </row>
    <row r="1057" spans="1:3" ht="12.75">
      <c r="A1057" s="2"/>
      <c r="B1057" s="2"/>
      <c r="C1057" s="2"/>
    </row>
    <row r="1058" spans="1:3" ht="12.75">
      <c r="A1058" s="2"/>
      <c r="B1058" s="2"/>
      <c r="C1058" s="2"/>
    </row>
    <row r="1059" spans="1:3" ht="12.75">
      <c r="A1059" s="2"/>
      <c r="B1059" s="2"/>
      <c r="C1059" s="2"/>
    </row>
    <row r="1060" spans="1:3" ht="12.75">
      <c r="A1060" s="2"/>
      <c r="B1060" s="2"/>
      <c r="C1060" s="2"/>
    </row>
    <row r="1061" spans="1:3" ht="12.75">
      <c r="A1061" s="2"/>
      <c r="B1061" s="2"/>
      <c r="C1061" s="2"/>
    </row>
    <row r="1062" spans="1:3" ht="12.75">
      <c r="A1062" s="2"/>
      <c r="B1062" s="2"/>
      <c r="C1062" s="2"/>
    </row>
    <row r="1063" spans="1:3" ht="12.75">
      <c r="A1063" s="2"/>
      <c r="B1063" s="2"/>
      <c r="C1063" s="2"/>
    </row>
    <row r="1064" spans="1:3" ht="12.75">
      <c r="A1064" s="2"/>
      <c r="B1064" s="2"/>
      <c r="C1064" s="2"/>
    </row>
    <row r="1065" spans="1:3" ht="12.75">
      <c r="A1065" s="2"/>
      <c r="B1065" s="2"/>
      <c r="C1065" s="2"/>
    </row>
    <row r="1066" spans="1:3" ht="12.75">
      <c r="A1066" s="2"/>
      <c r="B1066" s="2"/>
      <c r="C1066" s="2"/>
    </row>
    <row r="1067" spans="1:3" ht="12.75">
      <c r="A1067" s="2"/>
      <c r="B1067" s="2"/>
      <c r="C1067" s="2"/>
    </row>
    <row r="1068" spans="1:3" ht="12.75">
      <c r="A1068" s="2"/>
      <c r="B1068" s="2"/>
      <c r="C1068" s="2"/>
    </row>
    <row r="1069" spans="1:3" ht="12.75">
      <c r="A1069" s="2"/>
      <c r="B1069" s="2"/>
      <c r="C1069" s="2"/>
    </row>
    <row r="1070" spans="1:3" ht="12.75">
      <c r="A1070" s="2"/>
      <c r="B1070" s="2"/>
      <c r="C1070" s="2"/>
    </row>
    <row r="1071" spans="1:3" ht="12.75">
      <c r="A1071" s="2"/>
      <c r="B1071" s="2"/>
      <c r="C1071" s="2"/>
    </row>
    <row r="1072" spans="1:3" ht="12.75">
      <c r="A1072" s="2"/>
      <c r="B1072" s="2"/>
      <c r="C1072" s="2"/>
    </row>
    <row r="1073" spans="1:3" ht="12.75">
      <c r="A1073" s="2"/>
      <c r="B1073" s="2"/>
      <c r="C1073" s="2"/>
    </row>
    <row r="1074" spans="1:3" ht="12.75">
      <c r="A1074" s="2"/>
      <c r="B1074" s="2"/>
      <c r="C1074" s="2"/>
    </row>
    <row r="1075" spans="1:3" ht="12.75">
      <c r="A1075" s="2"/>
      <c r="B1075" s="2"/>
      <c r="C1075" s="2"/>
    </row>
    <row r="1076" spans="1:3" ht="12.75">
      <c r="A1076" s="2"/>
      <c r="B1076" s="2"/>
      <c r="C1076" s="2"/>
    </row>
    <row r="1077" spans="1:3" ht="12.75">
      <c r="A1077" s="2"/>
      <c r="B1077" s="2"/>
      <c r="C1077" s="2"/>
    </row>
    <row r="1078" spans="1:3" ht="12.75">
      <c r="A1078" s="2"/>
      <c r="B1078" s="2"/>
      <c r="C1078" s="2"/>
    </row>
    <row r="1079" spans="1:3" ht="12.75">
      <c r="A1079" s="2"/>
      <c r="B1079" s="2"/>
      <c r="C1079" s="2"/>
    </row>
    <row r="1080" spans="1:3" ht="12.75">
      <c r="A1080" s="2"/>
      <c r="B1080" s="2"/>
      <c r="C1080" s="2"/>
    </row>
    <row r="1081" spans="1:3" ht="12.75">
      <c r="A1081" s="2"/>
      <c r="B1081" s="2"/>
      <c r="C1081" s="2"/>
    </row>
    <row r="1082" spans="1:3" ht="12.75">
      <c r="A1082" s="2"/>
      <c r="B1082" s="2"/>
      <c r="C1082" s="2"/>
    </row>
    <row r="1083" spans="1:3" ht="12.75">
      <c r="A1083" s="2"/>
      <c r="B1083" s="2"/>
      <c r="C1083" s="2"/>
    </row>
    <row r="1084" spans="1:3" ht="12.75">
      <c r="A1084" s="2"/>
      <c r="B1084" s="2"/>
      <c r="C1084" s="2"/>
    </row>
    <row r="1085" spans="1:3" ht="12.75">
      <c r="A1085" s="2"/>
      <c r="B1085" s="2"/>
      <c r="C1085" s="2"/>
    </row>
    <row r="1086" spans="1:3" ht="12.75">
      <c r="A1086" s="2"/>
      <c r="B1086" s="2"/>
      <c r="C1086" s="2"/>
    </row>
    <row r="1087" spans="1:3" ht="12.75">
      <c r="A1087" s="2"/>
      <c r="B1087" s="2"/>
      <c r="C1087" s="2"/>
    </row>
    <row r="1088" spans="1:3" ht="12.75">
      <c r="A1088" s="2"/>
      <c r="B1088" s="2"/>
      <c r="C1088" s="2"/>
    </row>
    <row r="1089" spans="1:3" ht="12.75">
      <c r="A1089" s="2"/>
      <c r="B1089" s="2"/>
      <c r="C1089" s="2"/>
    </row>
    <row r="1090" spans="1:3" ht="12.75">
      <c r="A1090" s="2"/>
      <c r="B1090" s="2"/>
      <c r="C1090" s="2"/>
    </row>
    <row r="1091" spans="1:3" ht="12.75">
      <c r="A1091" s="2"/>
      <c r="B1091" s="2"/>
      <c r="C1091" s="2"/>
    </row>
    <row r="1092" spans="1:3" ht="12.75">
      <c r="A1092" s="2"/>
      <c r="B1092" s="2"/>
      <c r="C1092" s="2"/>
    </row>
    <row r="1093" spans="1:3" ht="12.75">
      <c r="A1093" s="2"/>
      <c r="B1093" s="2"/>
      <c r="C1093" s="2"/>
    </row>
    <row r="1094" spans="1:3" ht="12.75">
      <c r="A1094" s="2"/>
      <c r="B1094" s="2"/>
      <c r="C1094" s="2"/>
    </row>
    <row r="1095" spans="1:3" ht="12.75">
      <c r="A1095" s="2"/>
      <c r="B1095" s="2"/>
      <c r="C1095" s="2"/>
    </row>
    <row r="1096" spans="1:3" ht="12.75">
      <c r="A1096" s="2"/>
      <c r="B1096" s="2"/>
      <c r="C1096" s="2"/>
    </row>
    <row r="1097" spans="1:3" ht="12.75">
      <c r="A1097" s="2"/>
      <c r="B1097" s="2"/>
      <c r="C1097" s="2"/>
    </row>
    <row r="1098" spans="1:3" ht="12.75">
      <c r="A1098" s="2"/>
      <c r="B1098" s="2"/>
      <c r="C1098" s="2"/>
    </row>
    <row r="1099" spans="1:3" ht="12.75">
      <c r="A1099" s="2"/>
      <c r="B1099" s="2"/>
      <c r="C1099" s="2"/>
    </row>
    <row r="1100" spans="1:3" ht="12.75">
      <c r="A1100" s="2"/>
      <c r="B1100" s="2"/>
      <c r="C1100" s="2"/>
    </row>
    <row r="1101" spans="1:3" ht="12.75">
      <c r="A1101" s="2"/>
      <c r="B1101" s="2"/>
      <c r="C1101" s="2"/>
    </row>
    <row r="1102" spans="1:3" ht="12.75">
      <c r="A1102" s="2"/>
      <c r="B1102" s="2"/>
      <c r="C1102" s="2"/>
    </row>
    <row r="1103" spans="1:3" ht="12.75">
      <c r="A1103" s="2"/>
      <c r="B1103" s="2"/>
      <c r="C1103" s="2"/>
    </row>
    <row r="1104" spans="1:3" ht="12.75">
      <c r="A1104" s="2"/>
      <c r="B1104" s="2"/>
      <c r="C1104" s="2"/>
    </row>
    <row r="1105" spans="1:3" ht="12.75">
      <c r="A1105" s="2"/>
      <c r="B1105" s="2"/>
      <c r="C1105" s="2"/>
    </row>
    <row r="1106" spans="1:3" ht="12.75">
      <c r="A1106" s="2"/>
      <c r="B1106" s="2"/>
      <c r="C1106" s="2"/>
    </row>
    <row r="1107" spans="1:3" ht="12.75">
      <c r="A1107" s="2"/>
      <c r="B1107" s="2"/>
      <c r="C1107" s="2"/>
    </row>
    <row r="1108" spans="1:3" ht="12.75">
      <c r="A1108" s="2"/>
      <c r="B1108" s="2"/>
      <c r="C1108" s="2"/>
    </row>
    <row r="1109" spans="1:3" ht="12.75">
      <c r="A1109" s="2"/>
      <c r="B1109" s="2"/>
      <c r="C1109" s="2"/>
    </row>
    <row r="1110" spans="1:3" ht="12.75">
      <c r="A1110" s="2"/>
      <c r="B1110" s="2"/>
      <c r="C1110" s="2"/>
    </row>
    <row r="1111" spans="1:3" ht="12.75">
      <c r="A1111" s="2"/>
      <c r="B1111" s="2"/>
      <c r="C1111" s="2"/>
    </row>
    <row r="1112" spans="1:3" ht="12.75">
      <c r="A1112" s="2"/>
      <c r="B1112" s="2"/>
      <c r="C1112" s="2"/>
    </row>
    <row r="1113" spans="1:3" ht="12.75">
      <c r="A1113" s="2"/>
      <c r="B1113" s="2"/>
      <c r="C1113" s="2"/>
    </row>
    <row r="1114" spans="1:3" ht="12.75">
      <c r="A1114" s="2"/>
      <c r="B1114" s="2"/>
      <c r="C1114" s="2"/>
    </row>
    <row r="1115" spans="1:3" ht="12.75">
      <c r="A1115" s="2"/>
      <c r="B1115" s="2"/>
      <c r="C1115" s="2"/>
    </row>
    <row r="1116" spans="1:3" ht="12.75">
      <c r="A1116" s="2"/>
      <c r="B1116" s="2"/>
      <c r="C1116" s="2"/>
    </row>
    <row r="1117" spans="1:3" ht="12.75">
      <c r="A1117" s="2"/>
      <c r="B1117" s="2"/>
      <c r="C1117" s="2"/>
    </row>
    <row r="1118" spans="1:3" ht="12.75">
      <c r="A1118" s="2"/>
      <c r="B1118" s="2"/>
      <c r="C1118" s="2"/>
    </row>
    <row r="1119" spans="1:3" ht="12.75">
      <c r="A1119" s="2"/>
      <c r="B1119" s="2"/>
      <c r="C1119" s="2"/>
    </row>
    <row r="1120" spans="1:3" ht="12.75">
      <c r="A1120" s="2"/>
      <c r="B1120" s="2"/>
      <c r="C1120" s="2"/>
    </row>
    <row r="1121" spans="1:3" ht="12.75">
      <c r="A1121" s="2"/>
      <c r="B1121" s="2"/>
      <c r="C1121" s="2"/>
    </row>
    <row r="1122" spans="1:3" ht="12.75">
      <c r="A1122" s="2"/>
      <c r="B1122" s="2"/>
      <c r="C1122" s="2"/>
    </row>
    <row r="1123" spans="1:3" ht="12.75">
      <c r="A1123" s="2"/>
      <c r="B1123" s="2"/>
      <c r="C1123" s="2"/>
    </row>
    <row r="1124" spans="1:3" ht="12.75">
      <c r="A1124" s="2"/>
      <c r="B1124" s="2"/>
      <c r="C1124" s="2"/>
    </row>
    <row r="1125" spans="1:3" ht="12.75">
      <c r="A1125" s="2"/>
      <c r="B1125" s="2"/>
      <c r="C1125" s="2"/>
    </row>
    <row r="1126" spans="1:3" ht="12.75">
      <c r="A1126" s="2"/>
      <c r="B1126" s="2"/>
      <c r="C1126" s="2"/>
    </row>
    <row r="1127" spans="1:3" ht="12.75">
      <c r="A1127" s="2"/>
      <c r="B1127" s="2"/>
      <c r="C1127" s="2"/>
    </row>
    <row r="1128" spans="1:3" ht="12.75">
      <c r="A1128" s="2"/>
      <c r="B1128" s="2"/>
      <c r="C1128" s="2"/>
    </row>
    <row r="1129" spans="1:3" ht="12.75">
      <c r="A1129" s="2"/>
      <c r="B1129" s="2"/>
      <c r="C1129" s="2"/>
    </row>
    <row r="1130" spans="1:3" ht="12.75">
      <c r="A1130" s="2"/>
      <c r="B1130" s="2"/>
      <c r="C1130" s="2"/>
    </row>
    <row r="1131" spans="1:3" ht="12.75">
      <c r="A1131" s="2"/>
      <c r="B1131" s="2"/>
      <c r="C1131" s="2"/>
    </row>
    <row r="1132" spans="1:3" ht="12.75">
      <c r="A1132" s="2"/>
      <c r="B1132" s="2"/>
      <c r="C1132" s="2"/>
    </row>
    <row r="1133" spans="1:3" ht="12.75">
      <c r="A1133" s="2"/>
      <c r="B1133" s="2"/>
      <c r="C1133" s="2"/>
    </row>
    <row r="1134" spans="1:3" ht="12.75">
      <c r="A1134" s="2"/>
      <c r="B1134" s="2"/>
      <c r="C1134" s="2"/>
    </row>
    <row r="1135" spans="1:3" ht="12.75">
      <c r="A1135" s="2"/>
      <c r="B1135" s="2"/>
      <c r="C1135" s="2"/>
    </row>
    <row r="1136" spans="1:3" ht="12.75">
      <c r="A1136" s="2"/>
      <c r="B1136" s="2"/>
      <c r="C1136" s="2"/>
    </row>
    <row r="1137" spans="1:3" ht="12.75">
      <c r="A1137" s="2"/>
      <c r="B1137" s="2"/>
      <c r="C1137" s="2"/>
    </row>
    <row r="1138" spans="1:3" ht="12.75">
      <c r="A1138" s="2"/>
      <c r="B1138" s="2"/>
      <c r="C1138" s="2"/>
    </row>
    <row r="1139" spans="1:3" ht="12.75">
      <c r="A1139" s="2"/>
      <c r="B1139" s="2"/>
      <c r="C1139" s="2"/>
    </row>
    <row r="1140" spans="1:3" ht="12.75">
      <c r="A1140" s="2"/>
      <c r="B1140" s="2"/>
      <c r="C1140" s="2"/>
    </row>
    <row r="1141" spans="1:3" ht="12.75">
      <c r="A1141" s="2"/>
      <c r="B1141" s="2"/>
      <c r="C1141" s="2"/>
    </row>
    <row r="1142" spans="1:3" ht="12.75">
      <c r="A1142" s="2"/>
      <c r="B1142" s="2"/>
      <c r="C1142" s="2"/>
    </row>
    <row r="1143" spans="1:3" ht="12.75">
      <c r="A1143" s="2"/>
      <c r="B1143" s="2"/>
      <c r="C1143" s="2"/>
    </row>
    <row r="1144" spans="1:3" ht="12.75">
      <c r="A1144" s="2"/>
      <c r="B1144" s="2"/>
      <c r="C1144" s="2"/>
    </row>
    <row r="1145" spans="1:3" ht="12.75">
      <c r="A1145" s="2"/>
      <c r="B1145" s="2"/>
      <c r="C1145" s="2"/>
    </row>
    <row r="1146" spans="1:3" ht="12.75">
      <c r="A1146" s="2"/>
      <c r="B1146" s="2"/>
      <c r="C1146" s="2"/>
    </row>
    <row r="1147" spans="1:3" ht="12.75">
      <c r="A1147" s="2"/>
      <c r="B1147" s="2"/>
      <c r="C1147" s="2"/>
    </row>
    <row r="1148" spans="1:3" ht="12.75">
      <c r="A1148" s="2"/>
      <c r="B1148" s="2"/>
      <c r="C1148" s="2"/>
    </row>
    <row r="1149" spans="1:3" ht="12.75">
      <c r="A1149" s="2"/>
      <c r="B1149" s="2"/>
      <c r="C1149" s="2"/>
    </row>
    <row r="1150" spans="1:3" ht="12.75">
      <c r="A1150" s="2"/>
      <c r="B1150" s="2"/>
      <c r="C1150" s="2"/>
    </row>
    <row r="1151" spans="1:3" ht="12.75">
      <c r="A1151" s="2"/>
      <c r="B1151" s="2"/>
      <c r="C1151" s="2"/>
    </row>
    <row r="1152" spans="1:3" ht="12.75">
      <c r="A1152" s="2"/>
      <c r="B1152" s="2"/>
      <c r="C1152" s="2"/>
    </row>
    <row r="1153" spans="1:3" ht="12.75">
      <c r="A1153" s="2"/>
      <c r="B1153" s="2"/>
      <c r="C1153" s="2"/>
    </row>
    <row r="1154" spans="1:3" ht="12.75">
      <c r="A1154" s="2"/>
      <c r="B1154" s="2"/>
      <c r="C1154" s="2"/>
    </row>
    <row r="1155" spans="1:3" ht="12.75">
      <c r="A1155" s="2"/>
      <c r="B1155" s="2"/>
      <c r="C1155" s="2"/>
    </row>
    <row r="1156" spans="1:3" ht="12.75">
      <c r="A1156" s="2"/>
      <c r="B1156" s="2"/>
      <c r="C1156" s="2"/>
    </row>
    <row r="1157" spans="1:3" ht="12.75">
      <c r="A1157" s="2"/>
      <c r="B1157" s="2"/>
      <c r="C1157" s="2"/>
    </row>
    <row r="1158" spans="1:3" ht="12.75">
      <c r="A1158" s="2"/>
      <c r="B1158" s="2"/>
      <c r="C1158" s="2"/>
    </row>
    <row r="1159" spans="1:3" ht="12.75">
      <c r="A1159" s="2"/>
      <c r="B1159" s="2"/>
      <c r="C1159" s="2"/>
    </row>
    <row r="1160" spans="1:3" ht="12.75">
      <c r="A1160" s="2"/>
      <c r="B1160" s="2"/>
      <c r="C1160" s="2"/>
    </row>
    <row r="1161" spans="1:3" ht="12.75">
      <c r="A1161" s="2"/>
      <c r="B1161" s="2"/>
      <c r="C1161" s="2"/>
    </row>
    <row r="1162" spans="1:3" ht="12.75">
      <c r="A1162" s="2"/>
      <c r="B1162" s="2"/>
      <c r="C1162" s="2"/>
    </row>
    <row r="1163" spans="1:3" ht="12.75">
      <c r="A1163" s="2"/>
      <c r="B1163" s="2"/>
      <c r="C1163" s="2"/>
    </row>
    <row r="1164" spans="1:3" ht="12.75">
      <c r="A1164" s="2"/>
      <c r="B1164" s="2"/>
      <c r="C1164" s="2"/>
    </row>
    <row r="1165" spans="1:3" ht="12.75">
      <c r="A1165" s="2"/>
      <c r="B1165" s="2"/>
      <c r="C1165" s="2"/>
    </row>
    <row r="1166" spans="1:3" ht="12.75">
      <c r="A1166" s="2"/>
      <c r="B1166" s="2"/>
      <c r="C1166" s="2"/>
    </row>
    <row r="1167" spans="1:3" ht="12.75">
      <c r="A1167" s="2"/>
      <c r="B1167" s="2"/>
      <c r="C1167" s="2"/>
    </row>
    <row r="1168" spans="1:3" ht="12.75">
      <c r="A1168" s="2"/>
      <c r="B1168" s="2"/>
      <c r="C1168" s="2"/>
    </row>
    <row r="1169" spans="1:3" ht="12.75">
      <c r="A1169" s="2"/>
      <c r="B1169" s="2"/>
      <c r="C1169" s="2"/>
    </row>
    <row r="1170" spans="1:3" ht="12.75">
      <c r="A1170" s="2"/>
      <c r="B1170" s="2"/>
      <c r="C1170" s="2"/>
    </row>
    <row r="1171" spans="1:3" ht="12.75">
      <c r="A1171" s="2"/>
      <c r="B1171" s="2"/>
      <c r="C1171" s="2"/>
    </row>
    <row r="1172" spans="1:3" ht="12.75">
      <c r="A1172" s="2"/>
      <c r="B1172" s="2"/>
      <c r="C1172" s="2"/>
    </row>
    <row r="1173" spans="1:3" ht="12.75">
      <c r="A1173" s="2"/>
      <c r="B1173" s="2"/>
      <c r="C1173" s="2"/>
    </row>
    <row r="1174" spans="1:3" ht="12.75">
      <c r="A1174" s="2"/>
      <c r="B1174" s="2"/>
      <c r="C1174" s="2"/>
    </row>
    <row r="1175" spans="1:3" ht="12.75">
      <c r="A1175" s="2"/>
      <c r="B1175" s="2"/>
      <c r="C1175" s="2"/>
    </row>
    <row r="1176" spans="1:3" ht="12.75">
      <c r="A1176" s="2"/>
      <c r="B1176" s="2"/>
      <c r="C1176" s="2"/>
    </row>
    <row r="1177" spans="1:3" ht="12.75">
      <c r="A1177" s="2"/>
      <c r="B1177" s="2"/>
      <c r="C1177" s="2"/>
    </row>
    <row r="1178" spans="1:3" ht="12.75">
      <c r="A1178" s="2"/>
      <c r="B1178" s="2"/>
      <c r="C1178" s="2"/>
    </row>
    <row r="1179" spans="1:3" ht="12.75">
      <c r="A1179" s="2"/>
      <c r="B1179" s="2"/>
      <c r="C1179" s="2"/>
    </row>
    <row r="1180" spans="1:3" ht="12.75">
      <c r="A1180" s="2"/>
      <c r="B1180" s="2"/>
      <c r="C1180" s="2"/>
    </row>
    <row r="1181" spans="1:3" ht="12.75">
      <c r="A1181" s="2"/>
      <c r="B1181" s="2"/>
      <c r="C1181" s="2"/>
    </row>
    <row r="1182" spans="1:3" ht="12.75">
      <c r="A1182" s="2"/>
      <c r="B1182" s="2"/>
      <c r="C1182" s="2"/>
    </row>
    <row r="1183" spans="1:3" ht="12.75">
      <c r="A1183" s="2"/>
      <c r="B1183" s="2"/>
      <c r="C1183" s="2"/>
    </row>
    <row r="1184" spans="1:3" ht="12.75">
      <c r="A1184" s="2"/>
      <c r="B1184" s="2"/>
      <c r="C1184" s="2"/>
    </row>
    <row r="1185" spans="1:3" ht="12.75">
      <c r="A1185" s="2"/>
      <c r="B1185" s="2"/>
      <c r="C1185" s="2"/>
    </row>
    <row r="1186" spans="1:3" ht="12.75">
      <c r="A1186" s="2"/>
      <c r="B1186" s="2"/>
      <c r="C1186" s="2"/>
    </row>
    <row r="1187" spans="1:3" ht="12.75">
      <c r="A1187" s="2"/>
      <c r="B1187" s="2"/>
      <c r="C1187" s="2"/>
    </row>
    <row r="1188" spans="1:3" ht="12.75">
      <c r="A1188" s="2"/>
      <c r="B1188" s="2"/>
      <c r="C1188" s="2"/>
    </row>
    <row r="1189" spans="1:3" ht="12.75">
      <c r="A1189" s="2"/>
      <c r="B1189" s="2"/>
      <c r="C1189" s="2"/>
    </row>
    <row r="1190" spans="1:3" ht="12.75">
      <c r="A1190" s="2"/>
      <c r="B1190" s="2"/>
      <c r="C1190" s="2"/>
    </row>
    <row r="1191" spans="1:3" ht="12.75">
      <c r="A1191" s="2"/>
      <c r="B1191" s="2"/>
      <c r="C1191" s="2"/>
    </row>
    <row r="1192" spans="1:3" ht="12.75">
      <c r="A1192" s="2"/>
      <c r="B1192" s="2"/>
      <c r="C1192" s="2"/>
    </row>
    <row r="1193" spans="1:3" ht="12.75">
      <c r="A1193" s="2"/>
      <c r="B1193" s="2"/>
      <c r="C1193" s="2"/>
    </row>
    <row r="1194" spans="1:3" ht="12.75">
      <c r="A1194" s="2"/>
      <c r="B1194" s="2"/>
      <c r="C1194" s="2"/>
    </row>
    <row r="1195" spans="1:3" ht="12.75">
      <c r="A1195" s="2"/>
      <c r="B1195" s="2"/>
      <c r="C1195" s="2"/>
    </row>
    <row r="1196" spans="1:3" ht="12.75">
      <c r="A1196" s="2"/>
      <c r="B1196" s="2"/>
      <c r="C1196" s="2"/>
    </row>
    <row r="1197" spans="1:3" ht="12.75">
      <c r="A1197" s="2"/>
      <c r="B1197" s="2"/>
      <c r="C1197" s="2"/>
    </row>
    <row r="1198" spans="1:3" ht="12.75">
      <c r="A1198" s="2"/>
      <c r="B1198" s="2"/>
      <c r="C1198" s="2"/>
    </row>
    <row r="1199" spans="1:3" ht="12.75">
      <c r="A1199" s="2"/>
      <c r="B1199" s="2"/>
      <c r="C1199" s="2"/>
    </row>
    <row r="1200" spans="1:3" ht="12.75">
      <c r="A1200" s="2"/>
      <c r="B1200" s="2"/>
      <c r="C1200" s="2"/>
    </row>
    <row r="1201" spans="1:3" ht="12.75">
      <c r="A1201" s="2"/>
      <c r="B1201" s="2"/>
      <c r="C1201" s="2"/>
    </row>
    <row r="1202" spans="1:3" ht="12.75">
      <c r="A1202" s="2"/>
      <c r="B1202" s="2"/>
      <c r="C1202" s="2"/>
    </row>
    <row r="1203" spans="1:3" ht="12.75">
      <c r="A1203" s="2"/>
      <c r="B1203" s="2"/>
      <c r="C1203" s="2"/>
    </row>
    <row r="1204" spans="1:3" ht="12.75">
      <c r="A1204" s="2"/>
      <c r="B1204" s="2"/>
      <c r="C1204" s="2"/>
    </row>
    <row r="1205" spans="1:3" ht="12.75">
      <c r="A1205" s="2"/>
      <c r="B1205" s="2"/>
      <c r="C1205" s="2"/>
    </row>
    <row r="1206" spans="1:3" ht="12.75">
      <c r="A1206" s="2"/>
      <c r="B1206" s="2"/>
      <c r="C1206" s="2"/>
    </row>
    <row r="1207" spans="1:3" ht="12.75">
      <c r="A1207" s="2"/>
      <c r="B1207" s="2"/>
      <c r="C1207" s="2"/>
    </row>
    <row r="1208" spans="1:3" ht="12.75">
      <c r="A1208" s="2"/>
      <c r="B1208" s="2"/>
      <c r="C1208" s="2"/>
    </row>
    <row r="1209" spans="1:3" ht="12.75">
      <c r="A1209" s="2"/>
      <c r="B1209" s="2"/>
      <c r="C1209" s="2"/>
    </row>
    <row r="1210" spans="1:3" ht="12.75">
      <c r="A1210" s="2"/>
      <c r="B1210" s="2"/>
      <c r="C1210" s="2"/>
    </row>
    <row r="1211" spans="1:3" ht="12.75">
      <c r="A1211" s="2"/>
      <c r="B1211" s="2"/>
      <c r="C1211" s="2"/>
    </row>
    <row r="1212" spans="1:3" ht="12.75">
      <c r="A1212" s="2"/>
      <c r="B1212" s="2"/>
      <c r="C1212" s="2"/>
    </row>
    <row r="1213" spans="1:3" ht="12.75">
      <c r="A1213" s="2"/>
      <c r="B1213" s="2"/>
      <c r="C1213" s="2"/>
    </row>
    <row r="1214" spans="1:3" ht="12.75">
      <c r="A1214" s="2"/>
      <c r="B1214" s="2"/>
      <c r="C1214" s="2"/>
    </row>
    <row r="1215" spans="1:3" ht="12.75">
      <c r="A1215" s="2"/>
      <c r="B1215" s="2"/>
      <c r="C1215" s="2"/>
    </row>
    <row r="1216" spans="1:3" ht="12.75">
      <c r="A1216" s="2"/>
      <c r="B1216" s="2"/>
      <c r="C1216" s="2"/>
    </row>
    <row r="1217" spans="1:3" ht="12.75">
      <c r="A1217" s="2"/>
      <c r="B1217" s="2"/>
      <c r="C1217" s="2"/>
    </row>
    <row r="1218" spans="1:3" ht="12.75">
      <c r="A1218" s="2"/>
      <c r="B1218" s="2"/>
      <c r="C1218" s="2"/>
    </row>
    <row r="1219" spans="1:3" ht="12.75">
      <c r="A1219" s="2"/>
      <c r="B1219" s="2"/>
      <c r="C1219" s="2"/>
    </row>
    <row r="1220" spans="1:3" ht="12.75">
      <c r="A1220" s="2"/>
      <c r="B1220" s="2"/>
      <c r="C1220" s="2"/>
    </row>
    <row r="1221" spans="1:3" ht="12.75">
      <c r="A1221" s="2"/>
      <c r="B1221" s="2"/>
      <c r="C1221" s="2"/>
    </row>
    <row r="1222" spans="1:3" ht="12.75">
      <c r="A1222" s="2"/>
      <c r="B1222" s="2"/>
      <c r="C1222" s="2"/>
    </row>
    <row r="1223" spans="1:3" ht="12.75">
      <c r="A1223" s="2"/>
      <c r="B1223" s="2"/>
      <c r="C1223" s="2"/>
    </row>
    <row r="1224" spans="1:3" ht="12.75">
      <c r="A1224" s="2"/>
      <c r="B1224" s="2"/>
      <c r="C1224" s="2"/>
    </row>
    <row r="1225" spans="1:3" ht="12.75">
      <c r="A1225" s="2"/>
      <c r="B1225" s="2"/>
      <c r="C1225" s="2"/>
    </row>
    <row r="1226" spans="1:3" ht="12.75">
      <c r="A1226" s="2"/>
      <c r="B1226" s="2"/>
      <c r="C1226" s="2"/>
    </row>
    <row r="1227" spans="1:3" ht="12.75">
      <c r="A1227" s="2"/>
      <c r="B1227" s="2"/>
      <c r="C1227" s="2"/>
    </row>
    <row r="1228" spans="1:3" ht="12.75">
      <c r="A1228" s="2"/>
      <c r="B1228" s="2"/>
      <c r="C1228" s="2"/>
    </row>
    <row r="1229" spans="1:3" ht="12.75">
      <c r="A1229" s="2"/>
      <c r="B1229" s="2"/>
      <c r="C1229" s="2"/>
    </row>
    <row r="1230" spans="1:3" ht="12.75">
      <c r="A1230" s="2"/>
      <c r="B1230" s="2"/>
      <c r="C1230" s="2"/>
    </row>
    <row r="1231" spans="1:3" ht="12.75">
      <c r="A1231" s="2"/>
      <c r="B1231" s="2"/>
      <c r="C1231" s="2"/>
    </row>
    <row r="1232" spans="1:3" ht="12.75">
      <c r="A1232" s="2"/>
      <c r="B1232" s="2"/>
      <c r="C1232" s="2"/>
    </row>
    <row r="1233" spans="1:3" ht="12.75">
      <c r="A1233" s="2"/>
      <c r="B1233" s="2"/>
      <c r="C1233" s="2"/>
    </row>
    <row r="1234" spans="1:3" ht="12.75">
      <c r="A1234" s="2"/>
      <c r="B1234" s="2"/>
      <c r="C1234" s="2"/>
    </row>
    <row r="1235" spans="1:3" ht="12.75">
      <c r="A1235" s="2"/>
      <c r="B1235" s="2"/>
      <c r="C1235" s="2"/>
    </row>
    <row r="1236" spans="1:3" ht="12.75">
      <c r="A1236" s="2"/>
      <c r="B1236" s="2"/>
      <c r="C1236" s="2"/>
    </row>
    <row r="1237" spans="1:3" ht="12.75">
      <c r="A1237" s="2"/>
      <c r="B1237" s="2"/>
      <c r="C1237" s="2"/>
    </row>
    <row r="1238" spans="1:3" ht="12.75">
      <c r="A1238" s="2"/>
      <c r="B1238" s="2"/>
      <c r="C1238" s="2"/>
    </row>
    <row r="1239" spans="1:3" ht="12.75">
      <c r="A1239" s="2"/>
      <c r="B1239" s="2"/>
      <c r="C1239" s="2"/>
    </row>
    <row r="1240" spans="1:3" ht="12.75">
      <c r="A1240" s="2"/>
      <c r="B1240" s="2"/>
      <c r="C1240" s="2"/>
    </row>
    <row r="1241" spans="1:3" ht="12.75">
      <c r="A1241" s="2"/>
      <c r="B1241" s="2"/>
      <c r="C1241" s="2"/>
    </row>
    <row r="1242" spans="1:3" ht="12.75">
      <c r="A1242" s="2"/>
      <c r="B1242" s="2"/>
      <c r="C1242" s="2"/>
    </row>
    <row r="1243" spans="1:3" ht="12.75">
      <c r="A1243" s="2"/>
      <c r="B1243" s="2"/>
      <c r="C1243" s="2"/>
    </row>
    <row r="1244" spans="1:3" ht="12.75">
      <c r="A1244" s="2"/>
      <c r="B1244" s="2"/>
      <c r="C1244" s="2"/>
    </row>
    <row r="1245" spans="1:3" ht="12.75">
      <c r="A1245" s="2"/>
      <c r="B1245" s="2"/>
      <c r="C1245" s="2"/>
    </row>
    <row r="1246" spans="1:3" ht="12.75">
      <c r="A1246" s="2"/>
      <c r="B1246" s="2"/>
      <c r="C1246" s="2"/>
    </row>
    <row r="1247" spans="1:3" ht="12.75">
      <c r="A1247" s="2"/>
      <c r="B1247" s="2"/>
      <c r="C1247" s="2"/>
    </row>
    <row r="1248" spans="1:3" ht="12.75">
      <c r="A1248" s="2"/>
      <c r="B1248" s="2"/>
      <c r="C1248" s="2"/>
    </row>
    <row r="1249" spans="1:3" ht="12.75">
      <c r="A1249" s="2"/>
      <c r="B1249" s="2"/>
      <c r="C1249" s="2"/>
    </row>
    <row r="1250" spans="1:3" ht="12.75">
      <c r="A1250" s="2"/>
      <c r="B1250" s="2"/>
      <c r="C1250" s="2"/>
    </row>
    <row r="1251" spans="1:3" ht="12.75">
      <c r="A1251" s="2"/>
      <c r="B1251" s="2"/>
      <c r="C1251" s="2"/>
    </row>
    <row r="1252" spans="1:3" ht="12.75">
      <c r="A1252" s="2"/>
      <c r="B1252" s="2"/>
      <c r="C1252" s="2"/>
    </row>
    <row r="1253" spans="1:3" ht="12.75">
      <c r="A1253" s="2"/>
      <c r="B1253" s="2"/>
      <c r="C1253" s="2"/>
    </row>
    <row r="1254" spans="1:3" ht="12.75">
      <c r="A1254" s="2"/>
      <c r="B1254" s="2"/>
      <c r="C1254" s="2"/>
    </row>
    <row r="1255" spans="1:3" ht="12.75">
      <c r="A1255" s="2"/>
      <c r="B1255" s="2"/>
      <c r="C1255" s="2"/>
    </row>
    <row r="1256" spans="1:3" ht="12.75">
      <c r="A1256" s="2"/>
      <c r="B1256" s="2"/>
      <c r="C1256" s="2"/>
    </row>
    <row r="1257" spans="1:3" ht="12.75">
      <c r="A1257" s="2"/>
      <c r="B1257" s="2"/>
      <c r="C1257" s="2"/>
    </row>
    <row r="1258" spans="1:3" ht="12.75">
      <c r="A1258" s="2"/>
      <c r="B1258" s="2"/>
      <c r="C1258" s="2"/>
    </row>
    <row r="1259" spans="1:3" ht="12.75">
      <c r="A1259" s="2"/>
      <c r="B1259" s="2"/>
      <c r="C1259" s="2"/>
    </row>
    <row r="1260" spans="1:3" ht="12.75">
      <c r="A1260" s="2"/>
      <c r="B1260" s="2"/>
      <c r="C1260" s="2"/>
    </row>
    <row r="1261" spans="1:3" ht="12.75">
      <c r="A1261" s="2"/>
      <c r="B1261" s="2"/>
      <c r="C1261" s="2"/>
    </row>
    <row r="1262" spans="1:3" ht="12.75">
      <c r="A1262" s="2"/>
      <c r="B1262" s="2"/>
      <c r="C1262" s="2"/>
    </row>
    <row r="1263" spans="1:3" ht="12.75">
      <c r="A1263" s="2"/>
      <c r="B1263" s="2"/>
      <c r="C1263" s="2"/>
    </row>
    <row r="1264" spans="1:3" ht="12.75">
      <c r="A1264" s="2"/>
      <c r="B1264" s="2"/>
      <c r="C1264" s="2"/>
    </row>
    <row r="1265" spans="1:3" ht="12.75">
      <c r="A1265" s="2"/>
      <c r="B1265" s="2"/>
      <c r="C1265" s="2"/>
    </row>
    <row r="1266" spans="1:3" ht="12.75">
      <c r="A1266" s="2"/>
      <c r="B1266" s="2"/>
      <c r="C1266" s="2"/>
    </row>
    <row r="1267" spans="1:3" ht="12.75">
      <c r="A1267" s="2"/>
      <c r="B1267" s="2"/>
      <c r="C1267" s="2"/>
    </row>
    <row r="1268" spans="1:3" ht="12.75">
      <c r="A1268" s="2"/>
      <c r="B1268" s="2"/>
      <c r="C1268" s="2"/>
    </row>
    <row r="1269" spans="1:3" ht="12.75">
      <c r="A1269" s="2"/>
      <c r="B1269" s="2"/>
      <c r="C1269" s="2"/>
    </row>
    <row r="1270" spans="1:3" ht="12.75">
      <c r="A1270" s="2"/>
      <c r="B1270" s="2"/>
      <c r="C1270" s="2"/>
    </row>
    <row r="1271" spans="1:3" ht="12.75">
      <c r="A1271" s="2"/>
      <c r="B1271" s="2"/>
      <c r="C1271" s="2"/>
    </row>
    <row r="1272" spans="1:3" ht="12.75">
      <c r="A1272" s="2"/>
      <c r="B1272" s="2"/>
      <c r="C1272" s="2"/>
    </row>
    <row r="1273" spans="1:3" ht="12.75">
      <c r="A1273" s="2"/>
      <c r="B1273" s="2"/>
      <c r="C1273" s="2"/>
    </row>
    <row r="1274" spans="1:3" ht="12.75">
      <c r="A1274" s="2"/>
      <c r="B1274" s="2"/>
      <c r="C1274" s="2"/>
    </row>
    <row r="1275" spans="1:3" ht="12.75">
      <c r="A1275" s="2"/>
      <c r="B1275" s="2"/>
      <c r="C1275" s="2"/>
    </row>
    <row r="1276" spans="1:3" ht="12.75">
      <c r="A1276" s="2"/>
      <c r="B1276" s="2"/>
      <c r="C1276" s="2"/>
    </row>
    <row r="1277" spans="1:3" ht="12.75">
      <c r="A1277" s="2"/>
      <c r="B1277" s="2"/>
      <c r="C1277" s="2"/>
    </row>
    <row r="1278" spans="1:3" ht="12.75">
      <c r="A1278" s="2"/>
      <c r="B1278" s="2"/>
      <c r="C1278" s="2"/>
    </row>
    <row r="1279" spans="1:3" ht="12.75">
      <c r="A1279" s="2"/>
      <c r="B1279" s="2"/>
      <c r="C1279" s="2"/>
    </row>
    <row r="1280" spans="1:3" ht="12.75">
      <c r="A1280" s="2"/>
      <c r="B1280" s="2"/>
      <c r="C1280" s="2"/>
    </row>
    <row r="1281" spans="1:3" ht="12.75">
      <c r="A1281" s="2"/>
      <c r="B1281" s="2"/>
      <c r="C1281" s="2"/>
    </row>
    <row r="1282" spans="1:3" ht="12.75">
      <c r="A1282" s="2"/>
      <c r="B1282" s="2"/>
      <c r="C1282" s="2"/>
    </row>
    <row r="1283" spans="1:3" ht="12.75">
      <c r="A1283" s="2"/>
      <c r="B1283" s="2"/>
      <c r="C1283" s="2"/>
    </row>
    <row r="1284" spans="1:3" ht="12.75">
      <c r="A1284" s="2"/>
      <c r="B1284" s="2"/>
      <c r="C1284" s="2"/>
    </row>
    <row r="1285" spans="1:3" ht="12.75">
      <c r="A1285" s="2"/>
      <c r="B1285" s="2"/>
      <c r="C1285" s="2"/>
    </row>
    <row r="1286" spans="1:3" ht="12.75">
      <c r="A1286" s="2"/>
      <c r="B1286" s="2"/>
      <c r="C1286" s="2"/>
    </row>
    <row r="1287" spans="1:3" ht="12.75">
      <c r="A1287" s="2"/>
      <c r="B1287" s="2"/>
      <c r="C1287" s="2"/>
    </row>
    <row r="1288" spans="1:3" ht="12.75">
      <c r="A1288" s="2"/>
      <c r="B1288" s="2"/>
      <c r="C1288" s="2"/>
    </row>
    <row r="1289" spans="1:3" ht="12.75">
      <c r="A1289" s="2"/>
      <c r="B1289" s="2"/>
      <c r="C1289" s="2"/>
    </row>
    <row r="1290" spans="1:3" ht="12.75">
      <c r="A1290" s="2"/>
      <c r="B1290" s="2"/>
      <c r="C1290" s="2"/>
    </row>
    <row r="1291" spans="1:3" ht="12.75">
      <c r="A1291" s="2"/>
      <c r="B1291" s="2"/>
      <c r="C1291" s="2"/>
    </row>
    <row r="1292" spans="1:3" ht="12.75">
      <c r="A1292" s="2"/>
      <c r="B1292" s="2"/>
      <c r="C1292" s="2"/>
    </row>
    <row r="1293" spans="1:3" ht="12.75">
      <c r="A1293" s="2"/>
      <c r="B1293" s="2"/>
      <c r="C1293" s="2"/>
    </row>
    <row r="1294" spans="1:3" ht="12.75">
      <c r="A1294" s="2"/>
      <c r="B1294" s="2"/>
      <c r="C1294" s="2"/>
    </row>
    <row r="1295" spans="1:3" ht="12.75">
      <c r="A1295" s="2"/>
      <c r="B1295" s="2"/>
      <c r="C1295" s="2"/>
    </row>
    <row r="1296" spans="1:3" ht="12.75">
      <c r="A1296" s="2"/>
      <c r="B1296" s="2"/>
      <c r="C1296" s="2"/>
    </row>
    <row r="1297" spans="1:3" ht="12.75">
      <c r="A1297" s="2"/>
      <c r="B1297" s="2"/>
      <c r="C1297" s="2"/>
    </row>
    <row r="1298" spans="1:3" ht="12.75">
      <c r="A1298" s="2"/>
      <c r="B1298" s="2"/>
      <c r="C1298" s="2"/>
    </row>
    <row r="1299" spans="1:3" ht="12.75">
      <c r="A1299" s="2"/>
      <c r="B1299" s="2"/>
      <c r="C1299" s="2"/>
    </row>
    <row r="1300" spans="1:3" ht="12.75">
      <c r="A1300" s="2"/>
      <c r="B1300" s="2"/>
      <c r="C1300" s="2"/>
    </row>
    <row r="1301" spans="1:3" ht="12.75">
      <c r="A1301" s="2"/>
      <c r="B1301" s="2"/>
      <c r="C1301" s="2"/>
    </row>
    <row r="1302" spans="1:3" ht="12.75">
      <c r="A1302" s="2"/>
      <c r="B1302" s="2"/>
      <c r="C1302" s="2"/>
    </row>
    <row r="1303" spans="1:3" ht="12.75">
      <c r="A1303" s="2"/>
      <c r="B1303" s="2"/>
      <c r="C1303" s="2"/>
    </row>
    <row r="1304" spans="1:3" ht="12.75">
      <c r="A1304" s="2"/>
      <c r="B1304" s="2"/>
      <c r="C1304" s="2"/>
    </row>
    <row r="1305" spans="1:3" ht="12.75">
      <c r="A1305" s="2"/>
      <c r="B1305" s="2"/>
      <c r="C1305" s="2"/>
    </row>
    <row r="1306" spans="1:3" ht="12.75">
      <c r="A1306" s="2"/>
      <c r="B1306" s="2"/>
      <c r="C1306" s="2"/>
    </row>
    <row r="1307" spans="1:3" ht="12.75">
      <c r="A1307" s="2"/>
      <c r="B1307" s="2"/>
      <c r="C1307" s="2"/>
    </row>
    <row r="1308" spans="1:3" ht="12.75">
      <c r="A1308" s="2"/>
      <c r="B1308" s="2"/>
      <c r="C1308" s="2"/>
    </row>
    <row r="1309" spans="1:3" ht="12.75">
      <c r="A1309" s="2"/>
      <c r="B1309" s="2"/>
      <c r="C1309" s="2"/>
    </row>
    <row r="1310" spans="1:3" ht="12.75">
      <c r="A1310" s="2"/>
      <c r="B1310" s="2"/>
      <c r="C1310" s="2"/>
    </row>
    <row r="1311" spans="1:3" ht="12.75">
      <c r="A1311" s="2"/>
      <c r="B1311" s="2"/>
      <c r="C1311" s="2"/>
    </row>
    <row r="1312" spans="1:3" ht="12.75">
      <c r="A1312" s="2"/>
      <c r="B1312" s="2"/>
      <c r="C1312" s="2"/>
    </row>
    <row r="1313" spans="1:3" ht="12.75">
      <c r="A1313" s="2"/>
      <c r="B1313" s="2"/>
      <c r="C1313" s="2"/>
    </row>
    <row r="1314" spans="1:3" ht="12.75">
      <c r="A1314" s="2"/>
      <c r="B1314" s="2"/>
      <c r="C1314" s="2"/>
    </row>
    <row r="1315" spans="1:3" ht="12.75">
      <c r="A1315" s="2"/>
      <c r="B1315" s="2"/>
      <c r="C1315" s="2"/>
    </row>
    <row r="1316" spans="1:3" ht="12.75">
      <c r="A1316" s="2"/>
      <c r="B1316" s="2"/>
      <c r="C1316" s="2"/>
    </row>
    <row r="1317" spans="1:3" ht="12.75">
      <c r="A1317" s="2"/>
      <c r="B1317" s="2"/>
      <c r="C1317" s="2"/>
    </row>
    <row r="1318" spans="1:3" ht="12.75">
      <c r="A1318" s="2"/>
      <c r="B1318" s="2"/>
      <c r="C1318" s="2"/>
    </row>
    <row r="1319" spans="1:3" ht="12.75">
      <c r="A1319" s="2"/>
      <c r="B1319" s="2"/>
      <c r="C1319" s="2"/>
    </row>
    <row r="1320" spans="1:3" ht="12.75">
      <c r="A1320" s="2"/>
      <c r="B1320" s="2"/>
      <c r="C1320" s="2"/>
    </row>
    <row r="1321" spans="1:3" ht="12.75">
      <c r="A1321" s="2"/>
      <c r="B1321" s="2"/>
      <c r="C1321" s="2"/>
    </row>
    <row r="1322" spans="1:3" ht="12.75">
      <c r="A1322" s="2"/>
      <c r="B1322" s="2"/>
      <c r="C1322" s="2"/>
    </row>
    <row r="1323" spans="1:3" ht="12.75">
      <c r="A1323" s="2"/>
      <c r="B1323" s="2"/>
      <c r="C1323" s="2"/>
    </row>
    <row r="1324" spans="1:3" ht="12.75">
      <c r="A1324" s="2"/>
      <c r="B1324" s="2"/>
      <c r="C1324" s="2"/>
    </row>
    <row r="1325" spans="1:3" ht="12.75">
      <c r="A1325" s="2"/>
      <c r="B1325" s="2"/>
      <c r="C1325" s="2"/>
    </row>
    <row r="1326" spans="1:3" ht="12.75">
      <c r="A1326" s="2"/>
      <c r="B1326" s="2"/>
      <c r="C1326" s="2"/>
    </row>
    <row r="1327" spans="1:3" ht="12.75">
      <c r="A1327" s="2"/>
      <c r="B1327" s="2"/>
      <c r="C1327" s="2"/>
    </row>
    <row r="1328" spans="1:3" ht="12.75">
      <c r="A1328" s="2"/>
      <c r="B1328" s="2"/>
      <c r="C1328" s="2"/>
    </row>
    <row r="1329" spans="1:3" ht="12.75">
      <c r="A1329" s="2"/>
      <c r="B1329" s="2"/>
      <c r="C1329" s="2"/>
    </row>
    <row r="1330" spans="1:3" ht="12.75">
      <c r="A1330" s="2"/>
      <c r="B1330" s="2"/>
      <c r="C1330" s="2"/>
    </row>
    <row r="1331" spans="1:3" ht="12.75">
      <c r="A1331" s="2"/>
      <c r="B1331" s="2"/>
      <c r="C1331" s="2"/>
    </row>
    <row r="1332" spans="1:3" ht="12.75">
      <c r="A1332" s="2"/>
      <c r="B1332" s="2"/>
      <c r="C1332" s="2"/>
    </row>
    <row r="1333" spans="1:3" ht="12.75">
      <c r="A1333" s="2"/>
      <c r="B1333" s="2"/>
      <c r="C1333" s="2"/>
    </row>
    <row r="1334" spans="1:3" ht="12.75">
      <c r="A1334" s="2"/>
      <c r="B1334" s="2"/>
      <c r="C1334" s="2"/>
    </row>
    <row r="1335" spans="1:3" ht="12.75">
      <c r="A1335" s="2"/>
      <c r="B1335" s="2"/>
      <c r="C1335" s="2"/>
    </row>
    <row r="1336" spans="1:3" ht="12.75">
      <c r="A1336" s="2"/>
      <c r="B1336" s="2"/>
      <c r="C1336" s="2"/>
    </row>
    <row r="1337" spans="1:3" ht="12.75">
      <c r="A1337" s="2"/>
      <c r="B1337" s="2"/>
      <c r="C1337" s="2"/>
    </row>
    <row r="1338" spans="1:3" ht="12.75">
      <c r="A1338" s="2"/>
      <c r="B1338" s="2"/>
      <c r="C1338" s="2"/>
    </row>
    <row r="1339" spans="1:3" ht="12.75">
      <c r="A1339" s="2"/>
      <c r="B1339" s="2"/>
      <c r="C1339" s="2"/>
    </row>
    <row r="1340" spans="1:3" ht="12.75">
      <c r="A1340" s="2"/>
      <c r="B1340" s="2"/>
      <c r="C1340" s="2"/>
    </row>
    <row r="1341" spans="1:3" ht="12.75">
      <c r="A1341" s="2"/>
      <c r="B1341" s="2"/>
      <c r="C1341" s="2"/>
    </row>
    <row r="1342" spans="1:3" ht="12.75">
      <c r="A1342" s="2"/>
      <c r="B1342" s="2"/>
      <c r="C1342" s="2"/>
    </row>
    <row r="1343" spans="1:3" ht="12.75">
      <c r="A1343" s="2"/>
      <c r="B1343" s="2"/>
      <c r="C1343" s="2"/>
    </row>
    <row r="1344" spans="1:3" ht="12.75">
      <c r="A1344" s="2"/>
      <c r="B1344" s="2"/>
      <c r="C1344" s="2"/>
    </row>
    <row r="1345" spans="1:3" ht="12.75">
      <c r="A1345" s="2"/>
      <c r="B1345" s="2"/>
      <c r="C1345" s="2"/>
    </row>
    <row r="1346" spans="1:3" ht="12.75">
      <c r="A1346" s="2"/>
      <c r="B1346" s="2"/>
      <c r="C1346" s="2"/>
    </row>
    <row r="1347" spans="1:3" ht="12.75">
      <c r="A1347" s="2"/>
      <c r="B1347" s="2"/>
      <c r="C1347" s="2"/>
    </row>
    <row r="1348" spans="1:3" ht="12.75">
      <c r="A1348" s="2"/>
      <c r="B1348" s="2"/>
      <c r="C1348" s="2"/>
    </row>
    <row r="1349" spans="1:3" ht="12.75">
      <c r="A1349" s="2"/>
      <c r="B1349" s="2"/>
      <c r="C1349" s="2"/>
    </row>
    <row r="1350" spans="1:3" ht="12.75">
      <c r="A1350" s="2"/>
      <c r="B1350" s="2"/>
      <c r="C1350" s="2"/>
    </row>
    <row r="1351" spans="1:3" ht="12.75">
      <c r="A1351" s="2"/>
      <c r="B1351" s="2"/>
      <c r="C1351" s="2"/>
    </row>
    <row r="1352" spans="1:3" ht="12.75">
      <c r="A1352" s="2"/>
      <c r="B1352" s="2"/>
      <c r="C1352" s="2"/>
    </row>
    <row r="1353" spans="1:3" ht="12.75">
      <c r="A1353" s="2"/>
      <c r="B1353" s="2"/>
      <c r="C1353" s="2"/>
    </row>
    <row r="1354" spans="1:3" ht="12.75">
      <c r="A1354" s="2"/>
      <c r="B1354" s="2"/>
      <c r="C1354" s="2"/>
    </row>
    <row r="1355" spans="1:3" ht="12.75">
      <c r="A1355" s="2"/>
      <c r="B1355" s="2"/>
      <c r="C1355" s="2"/>
    </row>
    <row r="1356" spans="1:3" ht="12.75">
      <c r="A1356" s="2"/>
      <c r="B1356" s="2"/>
      <c r="C1356" s="2"/>
    </row>
    <row r="1357" spans="1:3" ht="12.75">
      <c r="A1357" s="2"/>
      <c r="B1357" s="2"/>
      <c r="C1357" s="2"/>
    </row>
    <row r="1358" spans="1:3" ht="12.75">
      <c r="A1358" s="2"/>
      <c r="B1358" s="2"/>
      <c r="C1358" s="2"/>
    </row>
    <row r="1359" spans="1:3" ht="12.75">
      <c r="A1359" s="2"/>
      <c r="B1359" s="2"/>
      <c r="C1359" s="2"/>
    </row>
    <row r="1360" spans="1:3" ht="12.75">
      <c r="A1360" s="2"/>
      <c r="B1360" s="2"/>
      <c r="C1360" s="2"/>
    </row>
    <row r="1361" spans="1:3" ht="12.75">
      <c r="A1361" s="2"/>
      <c r="B1361" s="2"/>
      <c r="C1361" s="2"/>
    </row>
    <row r="1362" spans="1:3" ht="12.75">
      <c r="A1362" s="2"/>
      <c r="B1362" s="2"/>
      <c r="C1362" s="2"/>
    </row>
    <row r="1363" spans="1:3" ht="12.75">
      <c r="A1363" s="2"/>
      <c r="B1363" s="2"/>
      <c r="C1363" s="2"/>
    </row>
    <row r="1364" spans="1:3" ht="12.75">
      <c r="A1364" s="2"/>
      <c r="B1364" s="2"/>
      <c r="C1364" s="2"/>
    </row>
    <row r="1365" spans="1:3" ht="12.75">
      <c r="A1365" s="2"/>
      <c r="B1365" s="2"/>
      <c r="C1365" s="2"/>
    </row>
    <row r="1366" spans="1:3" ht="12.75">
      <c r="A1366" s="2"/>
      <c r="B1366" s="2"/>
      <c r="C1366" s="2"/>
    </row>
    <row r="1367" spans="1:3" ht="12.75">
      <c r="A1367" s="2"/>
      <c r="B1367" s="2"/>
      <c r="C1367" s="2"/>
    </row>
    <row r="1368" spans="1:3" ht="12.75">
      <c r="A1368" s="2"/>
      <c r="B1368" s="2"/>
      <c r="C1368" s="2"/>
    </row>
    <row r="1369" spans="1:3" ht="12.75">
      <c r="A1369" s="2"/>
      <c r="B1369" s="2"/>
      <c r="C1369" s="2"/>
    </row>
    <row r="1370" spans="1:3" ht="12.75">
      <c r="A1370" s="2"/>
      <c r="B1370" s="2"/>
      <c r="C1370" s="2"/>
    </row>
    <row r="1371" spans="1:3" ht="12.75">
      <c r="A1371" s="2"/>
      <c r="B1371" s="2"/>
      <c r="C1371" s="2"/>
    </row>
    <row r="1372" spans="1:3" ht="12.75">
      <c r="A1372" s="2"/>
      <c r="B1372" s="2"/>
      <c r="C1372" s="2"/>
    </row>
    <row r="1373" spans="1:3" ht="12.75">
      <c r="A1373" s="2"/>
      <c r="B1373" s="2"/>
      <c r="C1373" s="2"/>
    </row>
    <row r="1374" spans="1:3" ht="12.75">
      <c r="A1374" s="2"/>
      <c r="B1374" s="2"/>
      <c r="C1374" s="2"/>
    </row>
    <row r="1375" spans="1:3" ht="12.75">
      <c r="A1375" s="2"/>
      <c r="B1375" s="2"/>
      <c r="C1375" s="2"/>
    </row>
    <row r="1376" spans="1:3" ht="12.75">
      <c r="A1376" s="2"/>
      <c r="B1376" s="2"/>
      <c r="C1376" s="2"/>
    </row>
    <row r="1377" spans="1:3" ht="12.75">
      <c r="A1377" s="2"/>
      <c r="B1377" s="2"/>
      <c r="C1377" s="2"/>
    </row>
    <row r="1378" spans="1:3" ht="12.75">
      <c r="A1378" s="2"/>
      <c r="B1378" s="2"/>
      <c r="C1378" s="2"/>
    </row>
    <row r="1379" spans="1:3" ht="12.75">
      <c r="A1379" s="2"/>
      <c r="B1379" s="2"/>
      <c r="C1379" s="2"/>
    </row>
    <row r="1380" spans="1:3" ht="12.75">
      <c r="A1380" s="2"/>
      <c r="B1380" s="2"/>
      <c r="C1380" s="2"/>
    </row>
    <row r="1381" spans="1:3" ht="12.75">
      <c r="A1381" s="2"/>
      <c r="B1381" s="2"/>
      <c r="C1381" s="2"/>
    </row>
    <row r="1382" spans="1:3" ht="12.75">
      <c r="A1382" s="2"/>
      <c r="B1382" s="2"/>
      <c r="C1382" s="2"/>
    </row>
    <row r="1383" spans="1:3" ht="12.75">
      <c r="A1383" s="2"/>
      <c r="B1383" s="2"/>
      <c r="C1383" s="2"/>
    </row>
    <row r="1384" spans="1:3" ht="12.75">
      <c r="A1384" s="2"/>
      <c r="B1384" s="2"/>
      <c r="C1384" s="2"/>
    </row>
    <row r="1385" spans="1:3" ht="12.75">
      <c r="A1385" s="2"/>
      <c r="B1385" s="2"/>
      <c r="C1385" s="2"/>
    </row>
    <row r="1386" spans="1:3" ht="12.75">
      <c r="A1386" s="2"/>
      <c r="B1386" s="2"/>
      <c r="C1386" s="2"/>
    </row>
    <row r="1387" spans="1:3" ht="12.75">
      <c r="A1387" s="2"/>
      <c r="B1387" s="2"/>
      <c r="C1387" s="2"/>
    </row>
    <row r="1388" spans="1:3" ht="12.75">
      <c r="A1388" s="2"/>
      <c r="B1388" s="2"/>
      <c r="C1388" s="2"/>
    </row>
    <row r="1389" spans="1:3" ht="12.75">
      <c r="A1389" s="2"/>
      <c r="B1389" s="2"/>
      <c r="C1389" s="2"/>
    </row>
    <row r="1390" spans="1:3" ht="12.75">
      <c r="A1390" s="2"/>
      <c r="B1390" s="2"/>
      <c r="C1390" s="2"/>
    </row>
    <row r="1391" spans="1:3" ht="12.75">
      <c r="A1391" s="2"/>
      <c r="B1391" s="2"/>
      <c r="C1391" s="2"/>
    </row>
    <row r="1392" spans="1:3" ht="12.75">
      <c r="A1392" s="2"/>
      <c r="B1392" s="2"/>
      <c r="C1392" s="2"/>
    </row>
    <row r="1393" spans="1:3" ht="12.75">
      <c r="A1393" s="2"/>
      <c r="B1393" s="2"/>
      <c r="C1393" s="2"/>
    </row>
    <row r="1394" spans="1:3" ht="12.75">
      <c r="A1394" s="2"/>
      <c r="B1394" s="2"/>
      <c r="C1394" s="2"/>
    </row>
    <row r="1395" spans="1:3" ht="12.75">
      <c r="A1395" s="2"/>
      <c r="B1395" s="2"/>
      <c r="C1395" s="2"/>
    </row>
    <row r="1396" spans="1:3" ht="12.75">
      <c r="A1396" s="2"/>
      <c r="B1396" s="2"/>
      <c r="C1396" s="2"/>
    </row>
    <row r="1397" spans="1:3" ht="12.75">
      <c r="A1397" s="2"/>
      <c r="B1397" s="2"/>
      <c r="C1397" s="2"/>
    </row>
    <row r="1398" spans="1:3" ht="12.75">
      <c r="A1398" s="2"/>
      <c r="B1398" s="2"/>
      <c r="C1398" s="2"/>
    </row>
    <row r="1399" spans="1:3" ht="12.75">
      <c r="A1399" s="2"/>
      <c r="B1399" s="2"/>
      <c r="C1399" s="2"/>
    </row>
    <row r="1400" spans="1:3" ht="12.75">
      <c r="A1400" s="2"/>
      <c r="B1400" s="2"/>
      <c r="C1400" s="2"/>
    </row>
    <row r="1401" spans="1:3" ht="12.75">
      <c r="A1401" s="2"/>
      <c r="B1401" s="2"/>
      <c r="C1401" s="2"/>
    </row>
    <row r="1402" spans="1:3" ht="12.75">
      <c r="A1402" s="2"/>
      <c r="B1402" s="2"/>
      <c r="C1402" s="2"/>
    </row>
    <row r="1403" spans="1:3" ht="12.75">
      <c r="A1403" s="2"/>
      <c r="B1403" s="2"/>
      <c r="C1403" s="2"/>
    </row>
    <row r="1404" spans="1:3" ht="12.75">
      <c r="A1404" s="2"/>
      <c r="B1404" s="2"/>
      <c r="C1404" s="2"/>
    </row>
    <row r="1405" spans="1:3" ht="12.75">
      <c r="A1405" s="2"/>
      <c r="B1405" s="2"/>
      <c r="C1405" s="2"/>
    </row>
    <row r="1406" spans="1:3" ht="12.75">
      <c r="A1406" s="2"/>
      <c r="B1406" s="2"/>
      <c r="C1406" s="2"/>
    </row>
    <row r="1407" spans="1:3" ht="12.75">
      <c r="A1407" s="2"/>
      <c r="B1407" s="2"/>
      <c r="C1407" s="2"/>
    </row>
    <row r="1408" spans="1:3" ht="12.75">
      <c r="A1408" s="2"/>
      <c r="B1408" s="2"/>
      <c r="C1408" s="2"/>
    </row>
    <row r="1409" spans="1:3" ht="12.75">
      <c r="A1409" s="2"/>
      <c r="B1409" s="2"/>
      <c r="C1409" s="2"/>
    </row>
    <row r="1410" spans="1:3" ht="12.75">
      <c r="A1410" s="2"/>
      <c r="B1410" s="2"/>
      <c r="C1410" s="2"/>
    </row>
    <row r="1411" spans="1:3" ht="12.75">
      <c r="A1411" s="2"/>
      <c r="B1411" s="2"/>
      <c r="C1411" s="2"/>
    </row>
    <row r="1412" spans="1:3" ht="12.75">
      <c r="A1412" s="2"/>
      <c r="B1412" s="2"/>
      <c r="C1412" s="2"/>
    </row>
    <row r="1413" spans="1:3" ht="12.75">
      <c r="A1413" s="2"/>
      <c r="B1413" s="2"/>
      <c r="C1413" s="2"/>
    </row>
    <row r="1414" spans="1:3" ht="12.75">
      <c r="A1414" s="2"/>
      <c r="B1414" s="2"/>
      <c r="C1414" s="2"/>
    </row>
    <row r="1415" spans="1:3" ht="12.75">
      <c r="A1415" s="2"/>
      <c r="B1415" s="2"/>
      <c r="C1415" s="2"/>
    </row>
    <row r="1416" spans="1:3" ht="12.75">
      <c r="A1416" s="2"/>
      <c r="B1416" s="2"/>
      <c r="C1416" s="2"/>
    </row>
    <row r="1417" spans="1:3" ht="12.75">
      <c r="A1417" s="2"/>
      <c r="B1417" s="2"/>
      <c r="C1417" s="2"/>
    </row>
    <row r="1418" spans="1:3" ht="12.75">
      <c r="A1418" s="2"/>
      <c r="B1418" s="2"/>
      <c r="C1418" s="2"/>
    </row>
    <row r="1419" spans="1:3" ht="12.75">
      <c r="A1419" s="2"/>
      <c r="B1419" s="2"/>
      <c r="C1419" s="2"/>
    </row>
    <row r="1420" spans="1:3" ht="12.75">
      <c r="A1420" s="2"/>
      <c r="B1420" s="2"/>
      <c r="C1420" s="2"/>
    </row>
    <row r="1421" spans="1:3" ht="12.75">
      <c r="A1421" s="2"/>
      <c r="B1421" s="2"/>
      <c r="C1421" s="2"/>
    </row>
    <row r="1422" spans="1:3" ht="12.75">
      <c r="A1422" s="2"/>
      <c r="B1422" s="2"/>
      <c r="C1422" s="2"/>
    </row>
    <row r="1423" spans="1:3" ht="12.75">
      <c r="A1423" s="2"/>
      <c r="B1423" s="2"/>
      <c r="C1423" s="2"/>
    </row>
    <row r="1424" spans="1:3" ht="12.75">
      <c r="A1424" s="2"/>
      <c r="B1424" s="2"/>
      <c r="C1424" s="2"/>
    </row>
    <row r="1425" spans="1:3" ht="12.75">
      <c r="A1425" s="2"/>
      <c r="B1425" s="2"/>
      <c r="C1425" s="2"/>
    </row>
    <row r="1426" spans="1:3" ht="12.75">
      <c r="A1426" s="2"/>
      <c r="B1426" s="2"/>
      <c r="C1426" s="2"/>
    </row>
    <row r="1427" spans="1:3" ht="12.75">
      <c r="A1427" s="2"/>
      <c r="B1427" s="2"/>
      <c r="C1427" s="2"/>
    </row>
    <row r="1428" spans="1:3" ht="12.75">
      <c r="A1428" s="2"/>
      <c r="B1428" s="2"/>
      <c r="C1428" s="2"/>
    </row>
    <row r="1429" spans="1:3" ht="12.75">
      <c r="A1429" s="2"/>
      <c r="B1429" s="2"/>
      <c r="C1429" s="2"/>
    </row>
    <row r="1430" spans="1:3" ht="12.75">
      <c r="A1430" s="2"/>
      <c r="B1430" s="2"/>
      <c r="C1430" s="2"/>
    </row>
    <row r="1431" spans="1:3" ht="12.75">
      <c r="A1431" s="2"/>
      <c r="B1431" s="2"/>
      <c r="C1431" s="2"/>
    </row>
    <row r="1432" spans="1:3" ht="12.75">
      <c r="A1432" s="2"/>
      <c r="B1432" s="2"/>
      <c r="C1432" s="2"/>
    </row>
    <row r="1433" spans="1:3" ht="12.75">
      <c r="A1433" s="2"/>
      <c r="B1433" s="2"/>
      <c r="C1433" s="2"/>
    </row>
    <row r="1434" spans="1:3" ht="12.75">
      <c r="A1434" s="2"/>
      <c r="B1434" s="2"/>
      <c r="C1434" s="2"/>
    </row>
    <row r="1435" spans="1:3" ht="12.75">
      <c r="A1435" s="2"/>
      <c r="B1435" s="2"/>
      <c r="C1435" s="2"/>
    </row>
    <row r="1436" spans="1:3" ht="12.75">
      <c r="A1436" s="2"/>
      <c r="B1436" s="2"/>
      <c r="C1436" s="2"/>
    </row>
    <row r="1437" spans="1:3" ht="12.75">
      <c r="A1437" s="2"/>
      <c r="B1437" s="2"/>
      <c r="C1437" s="2"/>
    </row>
    <row r="1438" spans="1:3" ht="12.75">
      <c r="A1438" s="2"/>
      <c r="B1438" s="2"/>
      <c r="C1438" s="2"/>
    </row>
    <row r="1439" spans="1:3" ht="12.75">
      <c r="A1439" s="2"/>
      <c r="B1439" s="2"/>
      <c r="C1439" s="2"/>
    </row>
    <row r="1440" spans="1:3" ht="12.75">
      <c r="A1440" s="2"/>
      <c r="B1440" s="2"/>
      <c r="C1440" s="2"/>
    </row>
    <row r="1441" spans="1:3" ht="12.75">
      <c r="A1441" s="2"/>
      <c r="B1441" s="2"/>
      <c r="C1441" s="2"/>
    </row>
    <row r="1442" spans="1:3" ht="12.75">
      <c r="A1442" s="2"/>
      <c r="B1442" s="2"/>
      <c r="C1442" s="2"/>
    </row>
    <row r="1443" spans="1:3" ht="12.75">
      <c r="A1443" s="2"/>
      <c r="B1443" s="2"/>
      <c r="C1443" s="2"/>
    </row>
    <row r="1444" spans="1:3" ht="12.75">
      <c r="A1444" s="2"/>
      <c r="B1444" s="2"/>
      <c r="C1444" s="2"/>
    </row>
    <row r="1445" spans="1:3" ht="12.75">
      <c r="A1445" s="2"/>
      <c r="B1445" s="2"/>
      <c r="C1445" s="2"/>
    </row>
    <row r="1446" spans="1:3" ht="12.75">
      <c r="A1446" s="2"/>
      <c r="B1446" s="2"/>
      <c r="C1446" s="2"/>
    </row>
    <row r="1447" spans="1:3" ht="12.75">
      <c r="A1447" s="2"/>
      <c r="B1447" s="2"/>
      <c r="C1447" s="2"/>
    </row>
    <row r="1448" spans="1:3" ht="12.75">
      <c r="A1448" s="2"/>
      <c r="B1448" s="2"/>
      <c r="C1448" s="2"/>
    </row>
    <row r="1449" spans="1:3" ht="12.75">
      <c r="A1449" s="2"/>
      <c r="B1449" s="2"/>
      <c r="C1449" s="2"/>
    </row>
    <row r="1450" spans="1:3" ht="12.75">
      <c r="A1450" s="2"/>
      <c r="B1450" s="2"/>
      <c r="C1450" s="2"/>
    </row>
    <row r="1451" spans="1:3" ht="12.75">
      <c r="A1451" s="2"/>
      <c r="B1451" s="2"/>
      <c r="C1451" s="2"/>
    </row>
    <row r="1452" spans="1:3" ht="12.75">
      <c r="A1452" s="2"/>
      <c r="B1452" s="2"/>
      <c r="C1452" s="2"/>
    </row>
    <row r="1453" spans="1:3" ht="12.75">
      <c r="A1453" s="2"/>
      <c r="B1453" s="2"/>
      <c r="C1453" s="2"/>
    </row>
    <row r="1454" spans="1:3" ht="12.75">
      <c r="A1454" s="2"/>
      <c r="B1454" s="2"/>
      <c r="C1454" s="2"/>
    </row>
    <row r="1455" spans="1:3" ht="12.75">
      <c r="A1455" s="2"/>
      <c r="B1455" s="2"/>
      <c r="C1455" s="2"/>
    </row>
    <row r="1456" spans="1:3" ht="12.75">
      <c r="A1456" s="2"/>
      <c r="B1456" s="2"/>
      <c r="C1456" s="2"/>
    </row>
    <row r="1457" spans="1:3" ht="12.75">
      <c r="A1457" s="2"/>
      <c r="B1457" s="2"/>
      <c r="C1457" s="2"/>
    </row>
    <row r="1458" spans="1:3" ht="12.75">
      <c r="A1458" s="2"/>
      <c r="B1458" s="2"/>
      <c r="C1458" s="2"/>
    </row>
    <row r="1459" spans="1:3" ht="12.75">
      <c r="A1459" s="2"/>
      <c r="B1459" s="2"/>
      <c r="C1459" s="2"/>
    </row>
    <row r="1460" spans="1:3" ht="12.75">
      <c r="A1460" s="2"/>
      <c r="B1460" s="2"/>
      <c r="C1460" s="2"/>
    </row>
    <row r="1461" spans="1:3" ht="12.75">
      <c r="A1461" s="2"/>
      <c r="B1461" s="2"/>
      <c r="C1461" s="2"/>
    </row>
    <row r="1462" spans="1:3" ht="12.75">
      <c r="A1462" s="2"/>
      <c r="B1462" s="2"/>
      <c r="C1462" s="2"/>
    </row>
    <row r="1463" spans="1:3" ht="12.75">
      <c r="A1463" s="2"/>
      <c r="B1463" s="2"/>
      <c r="C1463" s="2"/>
    </row>
    <row r="1464" spans="1:3" ht="12.75">
      <c r="A1464" s="2"/>
      <c r="B1464" s="2"/>
      <c r="C1464" s="2"/>
    </row>
    <row r="1465" spans="1:3" ht="12.75">
      <c r="A1465" s="2"/>
      <c r="B1465" s="2"/>
      <c r="C1465" s="2"/>
    </row>
    <row r="1466" spans="1:3" ht="12.75">
      <c r="A1466" s="2"/>
      <c r="B1466" s="2"/>
      <c r="C1466" s="2"/>
    </row>
    <row r="1467" spans="1:3" ht="12.75">
      <c r="A1467" s="2"/>
      <c r="B1467" s="2"/>
      <c r="C1467" s="2"/>
    </row>
    <row r="1468" spans="1:3" ht="12.75">
      <c r="A1468" s="2"/>
      <c r="B1468" s="2"/>
      <c r="C1468" s="2"/>
    </row>
    <row r="1469" spans="1:3" ht="12.75">
      <c r="A1469" s="2"/>
      <c r="B1469" s="2"/>
      <c r="C1469" s="2"/>
    </row>
    <row r="1470" spans="1:3" ht="12.75">
      <c r="A1470" s="2"/>
      <c r="B1470" s="2"/>
      <c r="C1470" s="2"/>
    </row>
    <row r="1471" spans="1:3" ht="12.75">
      <c r="A1471" s="2"/>
      <c r="B1471" s="2"/>
      <c r="C1471" s="2"/>
    </row>
    <row r="1472" spans="1:3" ht="12.75">
      <c r="A1472" s="2"/>
      <c r="B1472" s="2"/>
      <c r="C1472" s="2"/>
    </row>
    <row r="1473" spans="1:3" ht="12.75">
      <c r="A1473" s="2"/>
      <c r="B1473" s="2"/>
      <c r="C1473" s="2"/>
    </row>
    <row r="1474" spans="1:3" ht="12.75">
      <c r="A1474" s="2"/>
      <c r="B1474" s="2"/>
      <c r="C1474" s="2"/>
    </row>
    <row r="1475" spans="1:3" ht="12.75">
      <c r="A1475" s="2"/>
      <c r="B1475" s="2"/>
      <c r="C1475" s="2"/>
    </row>
    <row r="1476" spans="1:3" ht="12.75">
      <c r="A1476" s="2"/>
      <c r="B1476" s="2"/>
      <c r="C1476" s="2"/>
    </row>
    <row r="1477" spans="1:3" ht="12.75">
      <c r="A1477" s="2"/>
      <c r="B1477" s="2"/>
      <c r="C1477" s="2"/>
    </row>
    <row r="1478" spans="1:3" ht="12.75">
      <c r="A1478" s="2"/>
      <c r="B1478" s="2"/>
      <c r="C1478" s="2"/>
    </row>
    <row r="1479" spans="1:3" ht="12.75">
      <c r="A1479" s="2"/>
      <c r="B1479" s="2"/>
      <c r="C1479" s="2"/>
    </row>
    <row r="1480" spans="1:3" ht="12.75">
      <c r="A1480" s="2"/>
      <c r="B1480" s="2"/>
      <c r="C1480" s="2"/>
    </row>
    <row r="1481" spans="1:3" ht="12.75">
      <c r="A1481" s="2"/>
      <c r="B1481" s="2"/>
      <c r="C1481" s="2"/>
    </row>
    <row r="1482" spans="1:3" ht="12.75">
      <c r="A1482" s="2"/>
      <c r="B1482" s="2"/>
      <c r="C1482" s="2"/>
    </row>
    <row r="1483" spans="1:3" ht="12.75">
      <c r="A1483" s="2"/>
      <c r="B1483" s="2"/>
      <c r="C1483" s="2"/>
    </row>
    <row r="1484" spans="1:3" ht="12.75">
      <c r="A1484" s="2"/>
      <c r="B1484" s="2"/>
      <c r="C1484" s="2"/>
    </row>
    <row r="1485" spans="1:3" ht="12.75">
      <c r="A1485" s="2"/>
      <c r="B1485" s="2"/>
      <c r="C1485" s="2"/>
    </row>
    <row r="1486" spans="1:3" ht="12.75">
      <c r="A1486" s="2"/>
      <c r="B1486" s="2"/>
      <c r="C1486" s="2"/>
    </row>
  </sheetData>
  <sheetProtection/>
  <mergeCells count="5">
    <mergeCell ref="A10:D10"/>
    <mergeCell ref="A11:D11"/>
    <mergeCell ref="A20:B20"/>
    <mergeCell ref="A21:B21"/>
    <mergeCell ref="A22:B22"/>
  </mergeCells>
  <printOptions horizontalCentered="1"/>
  <pageMargins left="0.1968503937007874" right="0.1968503937007874" top="0.35" bottom="0.5905511811023623" header="0.25" footer="0.5118110236220472"/>
  <pageSetup horizontalDpi="300" verticalDpi="300" orientation="portrait" paperSize="9" scale="9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view="pageBreakPreview" zoomScale="75" zoomScaleNormal="75" zoomScaleSheetLayoutView="75" zoomScalePageLayoutView="0" workbookViewId="0" topLeftCell="A7">
      <selection activeCell="L31" sqref="L31"/>
    </sheetView>
  </sheetViews>
  <sheetFormatPr defaultColWidth="11.421875" defaultRowHeight="12.75"/>
  <cols>
    <col min="1" max="1" width="11.8515625" style="0" customWidth="1"/>
    <col min="2" max="2" width="58.140625" style="0" customWidth="1"/>
    <col min="3" max="3" width="21.00390625" style="0" customWidth="1"/>
    <col min="4" max="4" width="7.140625" style="0" customWidth="1"/>
    <col min="5" max="8" width="21.7109375" style="0" customWidth="1"/>
    <col min="9" max="9" width="9.28125" style="0" bestFit="1" customWidth="1"/>
  </cols>
  <sheetData>
    <row r="1" spans="1:10" ht="27.75">
      <c r="A1" s="179"/>
      <c r="B1" s="2"/>
      <c r="C1" s="183"/>
      <c r="D1" s="183"/>
      <c r="E1" s="2"/>
      <c r="F1" s="2"/>
      <c r="G1" s="178"/>
      <c r="H1" s="2"/>
      <c r="I1" s="54"/>
      <c r="J1" s="53"/>
    </row>
    <row r="2" spans="1:10" ht="18">
      <c r="A2" s="180"/>
      <c r="B2" s="2"/>
      <c r="C2" s="81"/>
      <c r="D2" s="81"/>
      <c r="E2" s="2"/>
      <c r="F2" s="2"/>
      <c r="G2" s="81"/>
      <c r="H2" s="2"/>
      <c r="I2" s="54"/>
      <c r="J2" s="53"/>
    </row>
    <row r="3" spans="1:10" ht="18">
      <c r="A3" s="180"/>
      <c r="B3" s="2"/>
      <c r="C3" s="81"/>
      <c r="D3" s="81"/>
      <c r="E3" s="2"/>
      <c r="F3" s="2"/>
      <c r="G3" s="81"/>
      <c r="H3" s="2"/>
      <c r="I3" s="54"/>
      <c r="J3" s="53"/>
    </row>
    <row r="4" spans="1:10" ht="18">
      <c r="A4" s="180"/>
      <c r="B4" s="2"/>
      <c r="C4" s="81"/>
      <c r="D4" s="81"/>
      <c r="E4" s="2"/>
      <c r="F4" s="2"/>
      <c r="G4" s="81"/>
      <c r="H4" s="2"/>
      <c r="I4" s="54"/>
      <c r="J4" s="53"/>
    </row>
    <row r="5" spans="1:10" ht="18">
      <c r="A5" s="180"/>
      <c r="B5" s="2"/>
      <c r="C5" s="81"/>
      <c r="D5" s="81"/>
      <c r="E5" s="2"/>
      <c r="F5" s="2"/>
      <c r="G5" s="81"/>
      <c r="H5" s="2"/>
      <c r="I5" s="54"/>
      <c r="J5" s="53"/>
    </row>
    <row r="6" spans="1:10" ht="18">
      <c r="A6" s="180"/>
      <c r="B6" s="2"/>
      <c r="C6" s="81"/>
      <c r="D6" s="81"/>
      <c r="E6" s="2"/>
      <c r="F6" s="2"/>
      <c r="G6" s="81"/>
      <c r="H6" s="2"/>
      <c r="I6" s="54"/>
      <c r="J6" s="53"/>
    </row>
    <row r="7" spans="1:10" ht="18">
      <c r="A7" s="180"/>
      <c r="B7" s="114" t="s">
        <v>208</v>
      </c>
      <c r="C7" s="81"/>
      <c r="D7" s="81"/>
      <c r="E7" s="2"/>
      <c r="F7" s="2"/>
      <c r="G7" s="81"/>
      <c r="H7" s="2"/>
      <c r="I7" s="54"/>
      <c r="J7" s="53"/>
    </row>
    <row r="8" spans="1:10" ht="18">
      <c r="A8" s="180"/>
      <c r="B8" s="114" t="s">
        <v>209</v>
      </c>
      <c r="C8" s="81"/>
      <c r="D8" s="81"/>
      <c r="E8" s="2"/>
      <c r="F8" s="2"/>
      <c r="G8" s="81"/>
      <c r="H8" s="2"/>
      <c r="I8" s="54"/>
      <c r="J8" s="53"/>
    </row>
    <row r="9" spans="1:10" ht="18">
      <c r="A9" s="180"/>
      <c r="B9" s="114" t="s">
        <v>210</v>
      </c>
      <c r="C9" s="81"/>
      <c r="D9" s="81"/>
      <c r="E9" s="2"/>
      <c r="F9" s="2"/>
      <c r="G9" s="81"/>
      <c r="H9" s="2"/>
      <c r="I9" s="54"/>
      <c r="J9" s="53"/>
    </row>
    <row r="10" spans="1:10" ht="30.75" customHeight="1">
      <c r="A10" s="441" t="s">
        <v>51</v>
      </c>
      <c r="B10" s="441"/>
      <c r="C10" s="441"/>
      <c r="D10" s="441"/>
      <c r="E10" s="441"/>
      <c r="F10" s="441"/>
      <c r="G10" s="441"/>
      <c r="H10" s="441"/>
      <c r="I10" s="212"/>
      <c r="J10" s="53"/>
    </row>
    <row r="11" spans="1:10" ht="12.75">
      <c r="A11" s="184"/>
      <c r="B11" s="2"/>
      <c r="C11" s="81"/>
      <c r="D11" s="81"/>
      <c r="E11" s="2"/>
      <c r="F11" s="2"/>
      <c r="G11" s="81"/>
      <c r="H11" s="2"/>
      <c r="I11" s="212"/>
      <c r="J11" s="53"/>
    </row>
    <row r="12" spans="1:10" ht="13.5" thickBot="1">
      <c r="A12" s="82"/>
      <c r="B12" s="82"/>
      <c r="C12" s="83"/>
      <c r="D12" s="83"/>
      <c r="E12" s="97"/>
      <c r="F12" s="97"/>
      <c r="G12" s="98"/>
      <c r="H12" s="98"/>
      <c r="I12" s="212"/>
      <c r="J12" s="53"/>
    </row>
    <row r="13" spans="1:10" ht="12.75">
      <c r="A13" s="446" t="str">
        <f>RESUMO!A10</f>
        <v>OBJETO: REFORMA DA PISCINA</v>
      </c>
      <c r="B13" s="447"/>
      <c r="C13" s="447"/>
      <c r="D13" s="447"/>
      <c r="E13" s="447"/>
      <c r="F13" s="447"/>
      <c r="G13" s="447"/>
      <c r="H13" s="100"/>
      <c r="I13" s="324">
        <f>PLANILHA!K225+1</f>
        <v>1.2277</v>
      </c>
      <c r="J13" s="53"/>
    </row>
    <row r="14" spans="1:10" ht="26.25" customHeight="1" thickBot="1">
      <c r="A14" s="448">
        <f>RESUMO!A11</f>
        <v>0</v>
      </c>
      <c r="B14" s="449"/>
      <c r="C14" s="449"/>
      <c r="D14" s="449"/>
      <c r="E14" s="449"/>
      <c r="F14" s="449"/>
      <c r="G14" s="449"/>
      <c r="H14" s="99"/>
      <c r="I14" s="213"/>
      <c r="J14" s="53"/>
    </row>
    <row r="15" spans="1:10" ht="26.25" customHeight="1" thickBot="1">
      <c r="A15" s="185" t="s">
        <v>5</v>
      </c>
      <c r="B15" s="112" t="s">
        <v>125</v>
      </c>
      <c r="C15" s="182" t="s">
        <v>147</v>
      </c>
      <c r="D15" s="182" t="s">
        <v>13</v>
      </c>
      <c r="E15" s="181">
        <v>30</v>
      </c>
      <c r="F15" s="181">
        <v>60</v>
      </c>
      <c r="G15" s="181">
        <v>90</v>
      </c>
      <c r="H15" s="181" t="s">
        <v>136</v>
      </c>
      <c r="I15" s="213"/>
      <c r="J15" s="53"/>
    </row>
    <row r="16" spans="1:10" ht="15">
      <c r="A16" s="109"/>
      <c r="B16" s="110"/>
      <c r="C16" s="111"/>
      <c r="D16" s="67" t="s">
        <v>13</v>
      </c>
      <c r="E16" s="186">
        <v>0.3333</v>
      </c>
      <c r="F16" s="186">
        <v>0.3334</v>
      </c>
      <c r="G16" s="186">
        <v>0.3333</v>
      </c>
      <c r="H16" s="189">
        <f aca="true" t="shared" si="0" ref="H16:H22">SUM(E16:G16)</f>
        <v>1</v>
      </c>
      <c r="I16" s="213"/>
      <c r="J16" s="53"/>
    </row>
    <row r="17" spans="1:10" ht="15">
      <c r="A17" s="60" t="s">
        <v>29</v>
      </c>
      <c r="B17" s="61" t="str">
        <f>RESUMO!B14</f>
        <v>SERVIÇOS TECNICOS-PROFISSIONAIS</v>
      </c>
      <c r="C17" s="62">
        <f>PLANILHA!L13*I13</f>
        <v>861.62</v>
      </c>
      <c r="D17" s="63" t="s">
        <v>30</v>
      </c>
      <c r="E17" s="64">
        <f>$C$17*$E$16</f>
        <v>287.18</v>
      </c>
      <c r="F17" s="64">
        <f>$C$17*$F$16</f>
        <v>287.26</v>
      </c>
      <c r="G17" s="64">
        <f>$C$17*$G$16</f>
        <v>287.18</v>
      </c>
      <c r="H17" s="65">
        <f t="shared" si="0"/>
        <v>861.62</v>
      </c>
      <c r="I17" s="213"/>
      <c r="J17" s="53"/>
    </row>
    <row r="18" spans="1:10" ht="15">
      <c r="A18" s="56"/>
      <c r="B18" s="57"/>
      <c r="C18" s="59"/>
      <c r="D18" s="58" t="s">
        <v>13</v>
      </c>
      <c r="E18" s="187">
        <v>0.75</v>
      </c>
      <c r="F18" s="187">
        <v>0.25</v>
      </c>
      <c r="G18" s="187"/>
      <c r="H18" s="188">
        <f t="shared" si="0"/>
        <v>1</v>
      </c>
      <c r="I18" s="213"/>
      <c r="J18" s="53"/>
    </row>
    <row r="19" spans="1:10" ht="15">
      <c r="A19" s="60" t="s">
        <v>31</v>
      </c>
      <c r="B19" s="61" t="str">
        <f>RESUMO!B15</f>
        <v>SERVIÇOS PRELIMINARES</v>
      </c>
      <c r="C19" s="62">
        <f>PLANILHA!L27*$I$13</f>
        <v>33207.41</v>
      </c>
      <c r="D19" s="63" t="s">
        <v>30</v>
      </c>
      <c r="E19" s="64">
        <f>$C$19*$E$18</f>
        <v>24905.56</v>
      </c>
      <c r="F19" s="64">
        <f>$C$19*$F$18</f>
        <v>8301.85</v>
      </c>
      <c r="G19" s="190">
        <f>$C$19*$G$18</f>
        <v>0</v>
      </c>
      <c r="H19" s="65">
        <f t="shared" si="0"/>
        <v>33207.41</v>
      </c>
      <c r="I19" s="55"/>
      <c r="J19" s="53"/>
    </row>
    <row r="20" spans="1:10" ht="15">
      <c r="A20" s="56"/>
      <c r="B20" s="57"/>
      <c r="C20" s="59"/>
      <c r="D20" s="58" t="s">
        <v>13</v>
      </c>
      <c r="E20" s="187">
        <v>0.5</v>
      </c>
      <c r="F20" s="187">
        <v>0.35</v>
      </c>
      <c r="G20" s="187">
        <v>0.15</v>
      </c>
      <c r="H20" s="188">
        <f t="shared" si="0"/>
        <v>1</v>
      </c>
      <c r="I20" s="55"/>
      <c r="J20" s="53"/>
    </row>
    <row r="21" spans="1:10" ht="15">
      <c r="A21" s="60" t="s">
        <v>126</v>
      </c>
      <c r="B21" s="61" t="str">
        <f>RESUMO!B16</f>
        <v>ARQUITETURA E ELEMENTOS DE URBANISMO</v>
      </c>
      <c r="C21" s="62">
        <f>PLANILHA!L85*I13</f>
        <v>496092.01</v>
      </c>
      <c r="D21" s="63" t="s">
        <v>30</v>
      </c>
      <c r="E21" s="64">
        <f>$C$21*$E$20</f>
        <v>248046.01</v>
      </c>
      <c r="F21" s="64">
        <f>$C$21*$F$20</f>
        <v>173632.2</v>
      </c>
      <c r="G21" s="64">
        <f>$C$21*$G$20</f>
        <v>74413.8</v>
      </c>
      <c r="H21" s="65">
        <f t="shared" si="0"/>
        <v>496092.01</v>
      </c>
      <c r="I21" s="55"/>
      <c r="J21" s="53"/>
    </row>
    <row r="22" spans="1:10" ht="15">
      <c r="A22" s="56"/>
      <c r="B22" s="57"/>
      <c r="C22" s="59"/>
      <c r="D22" s="58" t="s">
        <v>13</v>
      </c>
      <c r="E22" s="187">
        <v>0.25</v>
      </c>
      <c r="F22" s="187">
        <v>0.5</v>
      </c>
      <c r="G22" s="187">
        <v>0.25</v>
      </c>
      <c r="H22" s="188">
        <f t="shared" si="0"/>
        <v>1</v>
      </c>
      <c r="I22" s="55"/>
      <c r="J22" s="53"/>
    </row>
    <row r="23" spans="1:10" ht="15.75" customHeight="1">
      <c r="A23" s="60" t="s">
        <v>127</v>
      </c>
      <c r="B23" s="61" t="str">
        <f>RESUMO!B17</f>
        <v>INSTALAÇÕES HIDRÁULICAS E SANITÁRIAS</v>
      </c>
      <c r="C23" s="62">
        <f>RESUMO!C17*I13</f>
        <v>54602.61</v>
      </c>
      <c r="D23" s="63" t="s">
        <v>30</v>
      </c>
      <c r="E23" s="64">
        <f>$C$23*$E$22</f>
        <v>13650.65</v>
      </c>
      <c r="F23" s="64">
        <f>$C$23*$F$22</f>
        <v>27301.31</v>
      </c>
      <c r="G23" s="64">
        <f>$C$23*$G$22</f>
        <v>13650.65</v>
      </c>
      <c r="H23" s="65">
        <f>SUM(E23:G23)-0.02</f>
        <v>54602.59</v>
      </c>
      <c r="I23" s="55"/>
      <c r="J23" s="53"/>
    </row>
    <row r="24" spans="1:10" ht="15">
      <c r="A24" s="56"/>
      <c r="B24" s="57"/>
      <c r="C24" s="59"/>
      <c r="D24" s="58" t="s">
        <v>13</v>
      </c>
      <c r="E24" s="187">
        <v>0.5</v>
      </c>
      <c r="F24" s="187">
        <v>0.4</v>
      </c>
      <c r="G24" s="187">
        <v>0.1</v>
      </c>
      <c r="H24" s="188">
        <f>SUM(E24:G24)</f>
        <v>1</v>
      </c>
      <c r="I24" s="55"/>
      <c r="J24" s="53"/>
    </row>
    <row r="25" spans="1:10" ht="15">
      <c r="A25" s="60" t="s">
        <v>32</v>
      </c>
      <c r="B25" s="61" t="str">
        <f>RESUMO!B18</f>
        <v>INSTALAÇÕES ELÉTRICAS E ELETRÔNICAS</v>
      </c>
      <c r="C25" s="62">
        <f>RESUMO!C18*I13</f>
        <v>107240.32</v>
      </c>
      <c r="D25" s="63" t="s">
        <v>30</v>
      </c>
      <c r="E25" s="64">
        <f>$C$25*$E$24</f>
        <v>53620.16</v>
      </c>
      <c r="F25" s="64">
        <f>$C$25*$F$24</f>
        <v>42896.13</v>
      </c>
      <c r="G25" s="64">
        <f>$C$25*$G$24</f>
        <v>10724.03</v>
      </c>
      <c r="H25" s="65">
        <f>SUM(E25:G25)-0.01</f>
        <v>107240.31</v>
      </c>
      <c r="I25" s="55"/>
      <c r="J25" s="53"/>
    </row>
    <row r="26" spans="1:10" ht="15" customHeight="1">
      <c r="A26" s="56"/>
      <c r="B26" s="57"/>
      <c r="C26" s="59"/>
      <c r="D26" s="58" t="s">
        <v>13</v>
      </c>
      <c r="E26" s="187"/>
      <c r="F26" s="187">
        <v>0.5</v>
      </c>
      <c r="G26" s="187">
        <v>0.5</v>
      </c>
      <c r="H26" s="188">
        <f>SUM(E26:G26)</f>
        <v>1</v>
      </c>
      <c r="I26" s="55"/>
      <c r="J26" s="53"/>
    </row>
    <row r="27" spans="1:10" ht="15">
      <c r="A27" s="60" t="s">
        <v>33</v>
      </c>
      <c r="B27" s="61" t="str">
        <f>RESUMO!B19</f>
        <v>SERVIÇOS COMPLEMENTARES</v>
      </c>
      <c r="C27" s="62">
        <f>RESUMO!C19*I13</f>
        <v>3531.92</v>
      </c>
      <c r="D27" s="63" t="s">
        <v>30</v>
      </c>
      <c r="E27" s="190">
        <f>$C$27*$E$26</f>
        <v>0</v>
      </c>
      <c r="F27" s="190">
        <f>$C$27*$F$26</f>
        <v>1765.96</v>
      </c>
      <c r="G27" s="190">
        <f>$C$27*$G$26</f>
        <v>1765.96</v>
      </c>
      <c r="H27" s="65">
        <f>SUM(E27:G27)</f>
        <v>3531.92</v>
      </c>
      <c r="I27" s="55"/>
      <c r="J27" s="53"/>
    </row>
    <row r="28" spans="1:10" ht="20.25" customHeight="1">
      <c r="A28" s="442" t="s">
        <v>34</v>
      </c>
      <c r="B28" s="443"/>
      <c r="C28" s="66"/>
      <c r="D28" s="67" t="s">
        <v>13</v>
      </c>
      <c r="E28" s="191">
        <f>E29/$H$29</f>
        <v>0.4896</v>
      </c>
      <c r="F28" s="191">
        <f>F29/$H$29</f>
        <v>0.3655</v>
      </c>
      <c r="G28" s="191">
        <f>G29/$H$29</f>
        <v>0.145</v>
      </c>
      <c r="H28" s="68" t="s">
        <v>14</v>
      </c>
      <c r="I28" s="55"/>
      <c r="J28" s="53"/>
    </row>
    <row r="29" spans="1:10" ht="20.25" customHeight="1">
      <c r="A29" s="442" t="s">
        <v>35</v>
      </c>
      <c r="B29" s="443"/>
      <c r="C29" s="69"/>
      <c r="D29" s="70" t="s">
        <v>30</v>
      </c>
      <c r="E29" s="71">
        <f>E27+E25+E23+E21+E19+E17-0.01</f>
        <v>340509.55</v>
      </c>
      <c r="F29" s="71">
        <f>F27+F25+F23+F21+F19+F17-0.01</f>
        <v>254184.7</v>
      </c>
      <c r="G29" s="71">
        <f>G27+G25+G23+G21+G19+G17-0.01</f>
        <v>100841.61</v>
      </c>
      <c r="H29" s="72">
        <f>SUM(E29:G29)</f>
        <v>695535.86</v>
      </c>
      <c r="I29" s="55"/>
      <c r="J29" s="53"/>
    </row>
    <row r="30" spans="1:10" ht="20.25" customHeight="1">
      <c r="A30" s="442" t="s">
        <v>36</v>
      </c>
      <c r="B30" s="443"/>
      <c r="C30" s="69">
        <f>SUM(C16:C27)</f>
        <v>695535.89</v>
      </c>
      <c r="D30" s="70" t="s">
        <v>13</v>
      </c>
      <c r="E30" s="192">
        <f>E28</f>
        <v>0.4896</v>
      </c>
      <c r="F30" s="192">
        <f>E30+F28</f>
        <v>0.8551</v>
      </c>
      <c r="G30" s="192">
        <f>F30+G28</f>
        <v>1.0001</v>
      </c>
      <c r="H30" s="73"/>
      <c r="I30" s="55"/>
      <c r="J30" s="53"/>
    </row>
    <row r="31" spans="1:10" ht="19.5" customHeight="1" thickBot="1">
      <c r="A31" s="444" t="s">
        <v>37</v>
      </c>
      <c r="B31" s="445"/>
      <c r="C31" s="74"/>
      <c r="D31" s="75" t="s">
        <v>30</v>
      </c>
      <c r="E31" s="76">
        <f>E29</f>
        <v>340509.55</v>
      </c>
      <c r="F31" s="76">
        <f>E31+F29</f>
        <v>594694.25</v>
      </c>
      <c r="G31" s="76">
        <f>F31+G29</f>
        <v>695535.86</v>
      </c>
      <c r="H31" s="77"/>
      <c r="I31" s="55"/>
      <c r="J31" s="53"/>
    </row>
    <row r="32" spans="1:10" ht="13.5" thickTop="1">
      <c r="A32" s="54"/>
      <c r="B32" s="54"/>
      <c r="C32" s="54"/>
      <c r="D32" s="54"/>
      <c r="E32" s="54"/>
      <c r="F32" s="54"/>
      <c r="G32" s="54"/>
      <c r="H32" s="54"/>
      <c r="I32" s="55"/>
      <c r="J32" s="53"/>
    </row>
    <row r="33" spans="8:9" ht="12.75">
      <c r="H33" s="78"/>
      <c r="I33" s="79"/>
    </row>
    <row r="34" ht="12.75">
      <c r="H34" s="193"/>
    </row>
    <row r="35" ht="12.75">
      <c r="H35" s="80"/>
    </row>
    <row r="38" ht="12.75">
      <c r="G38" s="242"/>
    </row>
    <row r="39" ht="12.75">
      <c r="G39" s="242"/>
    </row>
    <row r="40" ht="12.75">
      <c r="G40" s="237"/>
    </row>
  </sheetData>
  <sheetProtection/>
  <mergeCells count="7">
    <mergeCell ref="A10:H10"/>
    <mergeCell ref="A30:B30"/>
    <mergeCell ref="A31:B31"/>
    <mergeCell ref="A13:G13"/>
    <mergeCell ref="A14:G14"/>
    <mergeCell ref="A28:B28"/>
    <mergeCell ref="A29:B29"/>
  </mergeCells>
  <printOptions horizontalCentered="1"/>
  <pageMargins left="0.2362204724409449" right="0" top="0.4330708661417323" bottom="0.4724409448818898" header="0.1968503937007874" footer="0.31496062992125984"/>
  <pageSetup horizontalDpi="300" verticalDpi="300" orientation="landscape" paperSize="9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78"/>
  <sheetViews>
    <sheetView showGridLines="0" view="pageBreakPreview" zoomScaleSheetLayoutView="100" zoomScalePageLayoutView="0" workbookViewId="0" topLeftCell="A1">
      <selection activeCell="A39" sqref="A39"/>
    </sheetView>
  </sheetViews>
  <sheetFormatPr defaultColWidth="9.140625" defaultRowHeight="12.75"/>
  <cols>
    <col min="1" max="1" width="36.28125" style="370" customWidth="1"/>
    <col min="2" max="2" width="15.28125" style="370" bestFit="1" customWidth="1"/>
    <col min="3" max="3" width="14.57421875" style="370" customWidth="1"/>
    <col min="4" max="4" width="15.421875" style="370" customWidth="1"/>
    <col min="5" max="5" width="18.421875" style="370" bestFit="1" customWidth="1"/>
    <col min="6" max="6" width="9.00390625" style="370" bestFit="1" customWidth="1"/>
    <col min="7" max="7" width="11.00390625" style="370" customWidth="1"/>
    <col min="8" max="16384" width="9.140625" style="370" customWidth="1"/>
  </cols>
  <sheetData>
    <row r="1" spans="1:5" s="361" customFormat="1" ht="56.25" customHeight="1">
      <c r="A1" s="469"/>
      <c r="B1" s="469"/>
      <c r="C1" s="469"/>
      <c r="D1" s="469"/>
      <c r="E1" s="469"/>
    </row>
    <row r="2" spans="1:5" s="361" customFormat="1" ht="15.75">
      <c r="A2" s="362"/>
      <c r="B2" s="362"/>
      <c r="C2" s="362"/>
      <c r="D2" s="362"/>
      <c r="E2" s="362"/>
    </row>
    <row r="3" spans="1:5" s="364" customFormat="1" ht="15.75">
      <c r="A3" s="470" t="s">
        <v>504</v>
      </c>
      <c r="B3" s="470"/>
      <c r="C3" s="470"/>
      <c r="D3" s="470"/>
      <c r="E3" s="470"/>
    </row>
    <row r="4" spans="1:5" s="364" customFormat="1" ht="9" customHeight="1">
      <c r="A4" s="363"/>
      <c r="B4" s="363"/>
      <c r="C4" s="363"/>
      <c r="D4" s="363"/>
      <c r="E4" s="363"/>
    </row>
    <row r="5" spans="1:11" s="367" customFormat="1" ht="15.75" customHeight="1">
      <c r="A5" s="365"/>
      <c r="B5" s="461"/>
      <c r="C5" s="461"/>
      <c r="D5" s="461"/>
      <c r="E5" s="461"/>
      <c r="F5" s="366"/>
      <c r="G5" s="366"/>
      <c r="H5" s="366"/>
      <c r="I5" s="366"/>
      <c r="J5" s="366"/>
      <c r="K5" s="366"/>
    </row>
    <row r="6" spans="1:11" s="367" customFormat="1" ht="15.75" customHeight="1">
      <c r="A6" s="365"/>
      <c r="B6" s="461"/>
      <c r="C6" s="461"/>
      <c r="D6" s="461"/>
      <c r="E6" s="461"/>
      <c r="F6" s="366"/>
      <c r="G6" s="366"/>
      <c r="H6" s="366"/>
      <c r="I6" s="366"/>
      <c r="J6" s="366"/>
      <c r="K6" s="366"/>
    </row>
    <row r="7" spans="1:11" s="367" customFormat="1" ht="76.5" customHeight="1">
      <c r="A7" s="365" t="s">
        <v>470</v>
      </c>
      <c r="B7" s="461" t="s">
        <v>505</v>
      </c>
      <c r="C7" s="461"/>
      <c r="D7" s="461"/>
      <c r="E7" s="461"/>
      <c r="F7" s="366"/>
      <c r="G7" s="366"/>
      <c r="H7" s="366"/>
      <c r="I7" s="366"/>
      <c r="J7" s="366"/>
      <c r="K7" s="366"/>
    </row>
    <row r="8" spans="1:11" s="367" customFormat="1" ht="33" customHeight="1">
      <c r="A8" s="365" t="s">
        <v>471</v>
      </c>
      <c r="B8" s="461" t="s">
        <v>472</v>
      </c>
      <c r="C8" s="461"/>
      <c r="D8" s="461"/>
      <c r="E8" s="461"/>
      <c r="F8" s="366" t="str">
        <f>IF(B8&lt;&gt;"","OK","PREENCHER")</f>
        <v>OK</v>
      </c>
      <c r="G8" s="366"/>
      <c r="H8" s="366"/>
      <c r="I8" s="366"/>
      <c r="J8" s="366"/>
      <c r="K8" s="366"/>
    </row>
    <row r="9" spans="1:11" s="367" customFormat="1" ht="33" customHeight="1">
      <c r="A9" s="365" t="s">
        <v>473</v>
      </c>
      <c r="B9" s="460">
        <v>1</v>
      </c>
      <c r="C9" s="460"/>
      <c r="D9" s="460"/>
      <c r="E9" s="460"/>
      <c r="F9" s="366" t="str">
        <f>IF(B9&lt;&gt;"","OK","PREENCHER")</f>
        <v>OK</v>
      </c>
      <c r="G9" s="368"/>
      <c r="H9" s="366"/>
      <c r="I9" s="366"/>
      <c r="J9" s="366"/>
      <c r="K9" s="366"/>
    </row>
    <row r="10" spans="1:11" s="367" customFormat="1" ht="19.5" customHeight="1">
      <c r="A10" s="365" t="s">
        <v>474</v>
      </c>
      <c r="B10" s="461" t="s">
        <v>475</v>
      </c>
      <c r="C10" s="461"/>
      <c r="D10" s="461"/>
      <c r="E10" s="461"/>
      <c r="F10" s="366" t="str">
        <f>IF(B10&lt;&gt;"","OK","PREENCHER")</f>
        <v>OK</v>
      </c>
      <c r="G10" s="366"/>
      <c r="H10" s="366"/>
      <c r="I10" s="366"/>
      <c r="J10" s="366"/>
      <c r="K10" s="366"/>
    </row>
    <row r="11" spans="6:11" s="367" customFormat="1" ht="9" thickBot="1">
      <c r="F11" s="366"/>
      <c r="G11" s="366"/>
      <c r="H11" s="366"/>
      <c r="I11" s="366"/>
      <c r="J11" s="366"/>
      <c r="K11" s="366"/>
    </row>
    <row r="12" spans="1:11" ht="19.5" customHeight="1">
      <c r="A12" s="462" t="s">
        <v>476</v>
      </c>
      <c r="B12" s="464" t="s">
        <v>477</v>
      </c>
      <c r="C12" s="465"/>
      <c r="D12" s="466"/>
      <c r="E12" s="467" t="s">
        <v>478</v>
      </c>
      <c r="F12" s="369"/>
      <c r="G12" s="369"/>
      <c r="H12" s="369"/>
      <c r="I12" s="369"/>
      <c r="J12" s="369"/>
      <c r="K12" s="369"/>
    </row>
    <row r="13" spans="1:11" ht="36" customHeight="1" thickBot="1">
      <c r="A13" s="463"/>
      <c r="B13" s="371" t="s">
        <v>479</v>
      </c>
      <c r="C13" s="371" t="s">
        <v>480</v>
      </c>
      <c r="D13" s="372" t="s">
        <v>481</v>
      </c>
      <c r="E13" s="468"/>
      <c r="F13" s="369"/>
      <c r="G13" s="373"/>
      <c r="H13" s="373"/>
      <c r="I13" s="373"/>
      <c r="J13" s="369"/>
      <c r="K13" s="369"/>
    </row>
    <row r="14" spans="1:11" ht="15.75">
      <c r="A14" s="374" t="s">
        <v>482</v>
      </c>
      <c r="B14" s="375">
        <f>IF(ISERROR(VLOOKUP($B$8,'[1]Base dados - TCU 2622_2013'!$A$7:$V$14,2,)),"",VLOOKUP($B$8,'[1]Base dados - TCU 2622_2013'!$A$7:$V$14,2,))</f>
        <v>3</v>
      </c>
      <c r="C14" s="375">
        <f>IF(ISERROR(VLOOKUP($B$8,'[1]Base dados - TCU 2622_2013'!$A$7:$V$14,3,)),"",VLOOKUP($B$8,'[1]Base dados - TCU 2622_2013'!$A$7:$V$14,3,))</f>
        <v>4</v>
      </c>
      <c r="D14" s="375">
        <f>IF(ISERROR(VLOOKUP($B$8,'[1]Base dados - TCU 2622_2013'!$A$7:$V$14,4,)),"",VLOOKUP($B$8,'[1]Base dados - TCU 2622_2013'!$A$7:$V$14,4,))</f>
        <v>5.5</v>
      </c>
      <c r="E14" s="376">
        <v>4</v>
      </c>
      <c r="F14" s="366" t="str">
        <f>IF(AND(E14&gt;=B14,E14&lt;=D14),"OK","PREENCHER")</f>
        <v>OK</v>
      </c>
      <c r="G14" s="377"/>
      <c r="H14" s="373"/>
      <c r="I14" s="373"/>
      <c r="J14" s="369"/>
      <c r="K14" s="369"/>
    </row>
    <row r="15" spans="1:11" ht="15.75">
      <c r="A15" s="378" t="s">
        <v>483</v>
      </c>
      <c r="B15" s="375">
        <f>IF(ISERROR(VLOOKUP($B$8,'[1]Base dados - TCU 2622_2013'!$A$7:$V$14,5,)),"",VLOOKUP($B$8,'[1]Base dados - TCU 2622_2013'!$A$7:$V$14,5,))</f>
        <v>0.8</v>
      </c>
      <c r="C15" s="375">
        <f>IF(ISERROR(VLOOKUP($B$8,'[1]Base dados - TCU 2622_2013'!$A$7:$V$14,6,)),"",VLOOKUP($B$8,'[1]Base dados - TCU 2622_2013'!$A$7:$V$14,6,))</f>
        <v>0.8</v>
      </c>
      <c r="D15" s="375">
        <f>IF(ISERROR(VLOOKUP($B$8,'[1]Base dados - TCU 2622_2013'!$A$7:$V$14,7,)),"",VLOOKUP($B$8,'[1]Base dados - TCU 2622_2013'!$A$7:$V$14,7,))</f>
        <v>1</v>
      </c>
      <c r="E15" s="379">
        <v>0.8</v>
      </c>
      <c r="F15" s="366" t="str">
        <f aca="true" t="shared" si="0" ref="F15:F22">IF(AND(E15&gt;=B15,E15&lt;=D15),"OK","PREENCHER")</f>
        <v>OK</v>
      </c>
      <c r="G15" s="380"/>
      <c r="H15" s="373"/>
      <c r="I15" s="373"/>
      <c r="J15" s="369"/>
      <c r="K15" s="369"/>
    </row>
    <row r="16" spans="1:11" ht="15.75">
      <c r="A16" s="378" t="s">
        <v>484</v>
      </c>
      <c r="B16" s="375">
        <f>IF(ISERROR(VLOOKUP($B$8,'[1]Base dados - TCU 2622_2013'!$A$7:$V$14,8,)),"",VLOOKUP($B$8,'[1]Base dados - TCU 2622_2013'!$A$7:$V$14,8,))</f>
        <v>0.97</v>
      </c>
      <c r="C16" s="375">
        <f>IF(ISERROR(VLOOKUP($B$8,'[1]Base dados - TCU 2622_2013'!$A$7:$V$14,6,)),"",VLOOKUP($B$8,'[1]Base dados - TCU 2622_2013'!$A$7:$V$14,9,))</f>
        <v>1.27</v>
      </c>
      <c r="D16" s="375">
        <f>IF(ISERROR(VLOOKUP($B$8,'[1]Base dados - TCU 2622_2013'!$A$7:$V$14,7,)),"",VLOOKUP($B$8,'[1]Base dados - TCU 2622_2013'!$A$7:$V$14,10,))</f>
        <v>1.27</v>
      </c>
      <c r="E16" s="379">
        <v>1.27</v>
      </c>
      <c r="F16" s="366" t="str">
        <f t="shared" si="0"/>
        <v>OK</v>
      </c>
      <c r="G16" s="380"/>
      <c r="H16" s="373"/>
      <c r="I16" s="373"/>
      <c r="J16" s="369"/>
      <c r="K16" s="369"/>
    </row>
    <row r="17" spans="1:11" ht="15.75">
      <c r="A17" s="374" t="s">
        <v>485</v>
      </c>
      <c r="B17" s="375">
        <f>IF(ISERROR(VLOOKUP($B$8,'[1]Base dados - TCU 2622_2013'!$A$7:$V$14,11,)),"",VLOOKUP($B$8,'[1]Base dados - TCU 2622_2013'!$A$7:$V$14,11,))</f>
        <v>0.59</v>
      </c>
      <c r="C17" s="375">
        <f>IF(ISERROR(VLOOKUP($B$8,'[1]Base dados - TCU 2622_2013'!$A$7:$V$14,12,)),"",VLOOKUP($B$8,'[1]Base dados - TCU 2622_2013'!$A$7:$V$14,12,))</f>
        <v>1.23</v>
      </c>
      <c r="D17" s="375">
        <f>IF(ISERROR(VLOOKUP($B$8,'[1]Base dados - TCU 2622_2013'!$A$7:$V$14,13,)),"",VLOOKUP($B$8,'[1]Base dados - TCU 2622_2013'!$A$7:$V$14,13,))</f>
        <v>1.39</v>
      </c>
      <c r="E17" s="379">
        <v>1.23</v>
      </c>
      <c r="F17" s="366" t="str">
        <f t="shared" si="0"/>
        <v>OK</v>
      </c>
      <c r="G17" s="380"/>
      <c r="H17" s="373"/>
      <c r="I17" s="373"/>
      <c r="J17" s="369"/>
      <c r="K17" s="369"/>
    </row>
    <row r="18" spans="1:11" ht="15.75">
      <c r="A18" s="374" t="s">
        <v>486</v>
      </c>
      <c r="B18" s="375">
        <f>IF(ISERROR(VLOOKUP($B$8,'[1]Base dados - TCU 2622_2013'!$A$7:$V$14,14,)),"",VLOOKUP($B$8,'[1]Base dados - TCU 2622_2013'!$A$7:$V$14,14,))</f>
        <v>6.16</v>
      </c>
      <c r="C18" s="375">
        <f>IF(ISERROR(VLOOKUP($B$8,'[1]Base dados - TCU 2622_2013'!$A$7:$V$14,15,)),"",VLOOKUP($B$8,'[1]Base dados - TCU 2622_2013'!$A$7:$V$14,15,))</f>
        <v>7.4</v>
      </c>
      <c r="D18" s="375">
        <f>IF(ISERROR(VLOOKUP($B$8,'[1]Base dados - TCU 2622_2013'!$A$7:$V$14,16,)),"",VLOOKUP($B$8,'[1]Base dados - TCU 2622_2013'!$A$7:$V$14,16,))</f>
        <v>8.96</v>
      </c>
      <c r="E18" s="379">
        <v>6.16</v>
      </c>
      <c r="F18" s="366" t="str">
        <f t="shared" si="0"/>
        <v>OK</v>
      </c>
      <c r="G18" s="380"/>
      <c r="H18" s="373"/>
      <c r="I18" s="373"/>
      <c r="J18" s="369"/>
      <c r="K18" s="369"/>
    </row>
    <row r="19" spans="1:11" ht="15.75">
      <c r="A19" s="374" t="s">
        <v>487</v>
      </c>
      <c r="B19" s="375">
        <f>IF(ISERROR(VLOOKUP($B$8,'[1]Base dados - TCU 2622_2013'!$A$7:$V$14,17,)),"",VLOOKUP($B$8,'[1]Base dados - TCU 2622_2013'!$A$7:$V$14,17,))</f>
        <v>3</v>
      </c>
      <c r="C19" s="375">
        <f>IF(ISERROR(VLOOKUP($B$8,'[1]Base dados - TCU 2622_2013'!$A$7:$V$14,17,)),"",VLOOKUP($B$8,'[1]Base dados - TCU 2622_2013'!$A$7:$V$14,17,))</f>
        <v>3</v>
      </c>
      <c r="D19" s="375">
        <f>IF(ISERROR(VLOOKUP($B$8,'[1]Base dados - TCU 2622_2013'!$A$7:$V$14,17,)),"",VLOOKUP($B$8,'[1]Base dados - TCU 2622_2013'!$A$7:$V$14,17,))</f>
        <v>3</v>
      </c>
      <c r="E19" s="379">
        <v>3</v>
      </c>
      <c r="F19" s="366" t="str">
        <f t="shared" si="0"/>
        <v>OK</v>
      </c>
      <c r="G19" s="373"/>
      <c r="H19" s="373"/>
      <c r="I19" s="373"/>
      <c r="J19" s="369"/>
      <c r="K19" s="369"/>
    </row>
    <row r="20" spans="1:11" ht="15.75">
      <c r="A20" s="374" t="s">
        <v>488</v>
      </c>
      <c r="B20" s="375">
        <f>IF(ISERROR(VLOOKUP($B$8,'[1]Base dados - TCU 2622_2013'!$A$7:$V$14,18,)),"",VLOOKUP($B$8,'[1]Base dados - TCU 2622_2013'!$A$7:$V$14,18,))</f>
        <v>0.65</v>
      </c>
      <c r="C20" s="375">
        <f>IF(ISERROR(VLOOKUP($B$8,'[1]Base dados - TCU 2622_2013'!$A$7:$V$14,18,)),"",VLOOKUP($B$8,'[1]Base dados - TCU 2622_2013'!$A$7:$V$14,18,))</f>
        <v>0.65</v>
      </c>
      <c r="D20" s="375">
        <f>IF(ISERROR(VLOOKUP($B$8,'[1]Base dados - TCU 2622_2013'!$A$7:$V$14,18,)),"",VLOOKUP($B$8,'[1]Base dados - TCU 2622_2013'!$A$7:$V$14,18,))</f>
        <v>0.65</v>
      </c>
      <c r="E20" s="379">
        <v>0.65</v>
      </c>
      <c r="F20" s="366" t="str">
        <f t="shared" si="0"/>
        <v>OK</v>
      </c>
      <c r="G20" s="373"/>
      <c r="H20" s="373"/>
      <c r="I20" s="373"/>
      <c r="J20" s="369"/>
      <c r="K20" s="369"/>
    </row>
    <row r="21" spans="1:11" ht="15.75">
      <c r="A21" s="374" t="s">
        <v>489</v>
      </c>
      <c r="B21" s="375">
        <f>IF(ISERROR(VLOOKUP($B$8,'[1]Base dados - TCU 2622_2013'!$A$7:$V$14,19,)),"",VLOOKUP($B$8,'[1]Base dados - TCU 2622_2013'!$A$7:$V$14,19,))</f>
        <v>2</v>
      </c>
      <c r="C21" s="375">
        <f>IF(ISERROR(VLOOKUP($B$8,'[1]Base dados - TCU 2622_2013'!$A$7:$V$14,20,)),"",VLOOKUP($B$8,'[1]Base dados - TCU 2622_2013'!$A$7:$V$14,20,))</f>
        <v>3.5</v>
      </c>
      <c r="D21" s="375">
        <f>IF(ISERROR(VLOOKUP($B$8,'[1]Base dados - TCU 2622_2013'!$A$7:$V$14,21,)),"",VLOOKUP($B$8,'[1]Base dados - TCU 2622_2013'!$A$7:$V$14,21,))</f>
        <v>5</v>
      </c>
      <c r="E21" s="379">
        <v>3.5</v>
      </c>
      <c r="F21" s="366" t="str">
        <f t="shared" si="0"/>
        <v>OK</v>
      </c>
      <c r="G21" s="381"/>
      <c r="H21" s="382"/>
      <c r="I21" s="382"/>
      <c r="J21" s="382"/>
      <c r="K21" s="369"/>
    </row>
    <row r="22" spans="1:11" ht="30" customHeight="1" thickBot="1">
      <c r="A22" s="374">
        <f>IF(B10="sim","CPRB - Alíquota 4,5% Receita Bruta (Desoneração)","")</f>
      </c>
      <c r="B22" s="375">
        <f>IF($A$22="CPRB - Alíquota 4,5% Receita Bruta (Desoneração)",4.5,IF($B$10="","Preencher cabeçalho",0))</f>
        <v>0</v>
      </c>
      <c r="C22" s="375">
        <f>IF($A$22="CPRB - Alíquota 4,5% Receita Bruta (Desoneração)",4.5,IF($B$10="","Preencher cabeçalho",0))</f>
        <v>0</v>
      </c>
      <c r="D22" s="383">
        <f>IF($A$22="CPRB - Alíquota 4,5% Receita Bruta (Desoneração)",4.5,IF($B$10="","Preencher cabeçalho",0))</f>
        <v>0</v>
      </c>
      <c r="E22" s="384">
        <f>IF(B10="SIM",4.5,0)</f>
        <v>0</v>
      </c>
      <c r="F22" s="366" t="str">
        <f t="shared" si="0"/>
        <v>OK</v>
      </c>
      <c r="G22" s="382"/>
      <c r="H22" s="382"/>
      <c r="I22" s="382"/>
      <c r="J22" s="382"/>
      <c r="K22" s="369"/>
    </row>
    <row r="23" spans="1:11" ht="48" customHeight="1" thickBot="1">
      <c r="A23" s="385" t="s">
        <v>490</v>
      </c>
      <c r="B23" s="386">
        <f>IF($B$10="SIM",E28,"")</f>
      </c>
      <c r="C23" s="386">
        <f>IF($B$10="SIM",J27,"")</f>
      </c>
      <c r="D23" s="386">
        <f>IF($B$10="SIM",L27,"")</f>
      </c>
      <c r="E23" s="387">
        <f>IF(B10="SIM",IF(G23&lt;12,"PREENCHER CÉLULAS RESTANTES",((((1+E14/100+E15/100+E16/100)*(1+E17/100)*(1+E18/100))/(1-((E19+E20+E21*$B$9+E22)/100))-1)*100)),"")</f>
      </c>
      <c r="F23" s="369"/>
      <c r="G23" s="388">
        <f>COUNTIF(F8:F22,"OK")</f>
        <v>12</v>
      </c>
      <c r="I23" s="389"/>
      <c r="J23" s="369"/>
      <c r="K23" s="369"/>
    </row>
    <row r="24" spans="1:11" s="367" customFormat="1" ht="48.75" customHeight="1" thickBot="1">
      <c r="A24" s="385" t="s">
        <v>491</v>
      </c>
      <c r="B24" s="386">
        <f>IF(B8&lt;&gt;"",VLOOKUP($B$8,'[1]Base dados - TCU 2622_2013'!$A$7:$Y$14,23,),"")</f>
        <v>20.34</v>
      </c>
      <c r="C24" s="386">
        <f>IF(B8&lt;&gt;"",VLOOKUP($B$8,'[1]Base dados - TCU 2622_2013'!$A$7:$Y$14,24,),"")</f>
        <v>22.12</v>
      </c>
      <c r="D24" s="386">
        <f>IF(B8&lt;&gt;"",VLOOKUP($B$8,'[1]Base dados - TCU 2622_2013'!$A$7:$Y$14,25,),"")</f>
        <v>25</v>
      </c>
      <c r="E24" s="387">
        <f>IF(B10="NÃO",IF(G23&lt;12,"PREENCHER CÉLULAS RESTANTES",((((1+E14/100+E15/100+E16/100)*(1+E17/100)*(1+E18/100))/(1-((E19+E20+E21*$B$9)/100))-1)*100)),"")</f>
        <v>22.77</v>
      </c>
      <c r="F24" s="387"/>
      <c r="G24" s="390"/>
      <c r="H24" s="390"/>
      <c r="I24" s="391"/>
      <c r="J24" s="366"/>
      <c r="K24" s="366"/>
    </row>
    <row r="25" spans="1:11" s="367" customFormat="1" ht="16.5" thickBot="1">
      <c r="A25" s="392" t="s">
        <v>492</v>
      </c>
      <c r="F25" s="366"/>
      <c r="H25" s="391"/>
      <c r="I25" s="391"/>
      <c r="J25" s="366"/>
      <c r="K25" s="366"/>
    </row>
    <row r="26" spans="1:11" s="367" customFormat="1" ht="15.75" customHeight="1" thickBot="1">
      <c r="A26" s="392" t="s">
        <v>493</v>
      </c>
      <c r="D26" s="393" t="s">
        <v>494</v>
      </c>
      <c r="E26" s="394" t="str">
        <f>IF(B10="NÃO",(IF(E24&gt;D24,"INADEQUADO",IF(E24&lt;B24,"INADEQUADO","OK"))),IF(B10="SIM",(IF(E23&gt;D23,"INADEQUADO",IF(E23&lt;B23,"INADEQUADO","OK"))),""))</f>
        <v>OK</v>
      </c>
      <c r="F26" s="395" t="s">
        <v>495</v>
      </c>
      <c r="G26" s="391"/>
      <c r="H26" s="391"/>
      <c r="I26" s="391"/>
      <c r="J26" s="366"/>
      <c r="K26" s="366"/>
    </row>
    <row r="27" spans="4:13" ht="12.75">
      <c r="D27" s="396">
        <f>IF(B10="SIM","BDI s/ desoneração:","")</f>
      </c>
      <c r="E27" s="397">
        <f>IF(B10="SIM",((((1+E14/100+E15/100+E16/100)*(1+E17/100)*(1+E18/100))/(1-((E19+E20+E21*$B$9)/100))-1)*100),"")</f>
      </c>
      <c r="F27" s="395" t="s">
        <v>496</v>
      </c>
      <c r="G27" s="389"/>
      <c r="I27" s="388">
        <f>VLOOKUP($B$8,'[1]Base dados - TCU 2622_2013'!$A$7:$Y$14,23,)</f>
        <v>20.34</v>
      </c>
      <c r="J27" s="388">
        <f>((1+K27/100)*(((0.045/(0.9185-$E$21/100*$B$9))+1))-1)*100</f>
        <v>28.3400339558574</v>
      </c>
      <c r="K27" s="388">
        <f>VLOOKUP($B$8,'[1]Base dados - TCU 2622_2013'!$A$7:$Y$14,24,)</f>
        <v>22.12</v>
      </c>
      <c r="L27" s="388">
        <f>((1+M27/100)*(((0.045/(0.9185-$E$21/100*$B$9))+1))-1)*100</f>
        <v>31.3667232597623</v>
      </c>
      <c r="M27" s="388">
        <f>VLOOKUP($B$8,'[1]Base dados - TCU 2622_2013'!$A$7:$Y$14,25,)</f>
        <v>25</v>
      </c>
    </row>
    <row r="28" spans="1:13" ht="15.75">
      <c r="A28" s="453" t="s">
        <v>497</v>
      </c>
      <c r="B28" s="453"/>
      <c r="C28" s="453"/>
      <c r="D28" s="453"/>
      <c r="E28" s="398">
        <f>((1+I27/100)*(((0.045/(0.9185-$E$21/100*$B$9))+1))-1)*100</f>
        <v>26.4693718166384</v>
      </c>
      <c r="F28" s="391"/>
      <c r="G28" s="369"/>
      <c r="I28" s="388"/>
      <c r="J28" s="388">
        <f>((1+K27/100)*(0.9635-$E$21*$B$9/100)/(0.9435-$E$22*$B$9/100)-1)*100</f>
        <v>20.1785055643879</v>
      </c>
      <c r="K28" s="388"/>
      <c r="L28" s="388">
        <f>((1+M27/100)*(0.9635-$E$21*$B$9/100)/(0.9435-$E$22*$B$9/100)-1)*100</f>
        <v>23.0127186009539</v>
      </c>
      <c r="M28" s="388"/>
    </row>
    <row r="29" spans="5:12" ht="12.75">
      <c r="E29" s="398">
        <f>((1+I27/100)*(0.9635-$E$21*$B$9/100)/(0.9185-$E$22*$B$9/100)-1)*100</f>
        <v>21.6501796407186</v>
      </c>
      <c r="F29" s="391"/>
      <c r="G29" s="369"/>
      <c r="H29" s="369"/>
      <c r="I29" s="369"/>
      <c r="J29" s="369"/>
      <c r="K29" s="369"/>
      <c r="L29" s="369"/>
    </row>
    <row r="30" ht="12.75">
      <c r="F30" s="369"/>
    </row>
    <row r="31" ht="12.75">
      <c r="F31" s="369"/>
    </row>
    <row r="32" ht="12.75">
      <c r="F32" s="369"/>
    </row>
    <row r="33" spans="1:11" ht="15">
      <c r="A33" s="399" t="s">
        <v>498</v>
      </c>
      <c r="F33" s="369"/>
      <c r="G33" s="369"/>
      <c r="H33" s="369"/>
      <c r="I33" s="369"/>
      <c r="J33" s="369"/>
      <c r="K33" s="369"/>
    </row>
    <row r="34" spans="1:11" ht="15">
      <c r="A34" s="456" t="s">
        <v>499</v>
      </c>
      <c r="B34" s="456"/>
      <c r="C34" s="456"/>
      <c r="D34" s="456"/>
      <c r="F34" s="369"/>
      <c r="G34" s="369"/>
      <c r="H34" s="369"/>
      <c r="I34" s="369"/>
      <c r="J34" s="369"/>
      <c r="K34" s="369"/>
    </row>
    <row r="35" spans="1:11" ht="15">
      <c r="A35" s="456" t="s">
        <v>500</v>
      </c>
      <c r="B35" s="456"/>
      <c r="C35" s="456"/>
      <c r="D35" s="456"/>
      <c r="F35" s="369"/>
      <c r="G35" s="369"/>
      <c r="H35" s="369"/>
      <c r="I35" s="369"/>
      <c r="J35" s="369"/>
      <c r="K35" s="369"/>
    </row>
    <row r="36" spans="1:11" ht="15">
      <c r="A36" s="456" t="s">
        <v>501</v>
      </c>
      <c r="B36" s="456"/>
      <c r="C36" s="456"/>
      <c r="D36" s="456"/>
      <c r="F36" s="369"/>
      <c r="G36" s="369"/>
      <c r="H36" s="369"/>
      <c r="I36" s="369"/>
      <c r="J36" s="369"/>
      <c r="K36" s="369"/>
    </row>
    <row r="37" spans="1:11" ht="15">
      <c r="A37" s="456" t="s">
        <v>502</v>
      </c>
      <c r="B37" s="456"/>
      <c r="C37" s="456"/>
      <c r="D37" s="456"/>
      <c r="E37" s="456"/>
      <c r="F37" s="369"/>
      <c r="H37" s="369"/>
      <c r="I37" s="369"/>
      <c r="J37" s="369"/>
      <c r="K37" s="369"/>
    </row>
    <row r="38" spans="1:11" ht="15">
      <c r="A38" s="456" t="s">
        <v>503</v>
      </c>
      <c r="B38" s="456"/>
      <c r="C38" s="456"/>
      <c r="D38" s="456"/>
      <c r="F38" s="369"/>
      <c r="G38" s="369"/>
      <c r="H38" s="369"/>
      <c r="I38" s="369"/>
      <c r="J38" s="369"/>
      <c r="K38" s="369"/>
    </row>
    <row r="39" spans="1:11" ht="15">
      <c r="A39" s="400"/>
      <c r="B39" s="400"/>
      <c r="C39" s="400"/>
      <c r="D39" s="400"/>
      <c r="F39" s="369"/>
      <c r="G39" s="369"/>
      <c r="H39" s="369"/>
      <c r="I39" s="369"/>
      <c r="J39" s="369"/>
      <c r="K39" s="369"/>
    </row>
    <row r="40" spans="1:11" ht="68.25" customHeight="1">
      <c r="A40" s="457" t="str">
        <f>CONCATENATE("Declaro para os devidos fins que, conforme legislação tributária municipal, a base de cálculo do ISS para ",B8," é de ",B9*100,"%, com a respectiva alíquota de ",E21,"%. Declaramos ainda que adotamos orçamento ",IF(B10="SIM","Com Desoneração",IF(B10="NÃO","Sem Desoneração",""))," e que esta é a alternativa mais adequada para a Administração Pública.")</f>
        <v>Declaro para os devidos fins que, conforme legislação tributária municipal, a base de cálculo do ISS para Construção de Edifícios e Reformas (Quadras, unidades habitacionais, escolas, restaurantes, etc) é de 100%, com a respectiva alíquota de 3,5%. Declaramos ainda que adotamos orçamento Sem Desoneração e que esta é a alternativa mais adequada para a Administração Pública.</v>
      </c>
      <c r="B40" s="458"/>
      <c r="C40" s="458"/>
      <c r="D40" s="458"/>
      <c r="E40" s="459"/>
      <c r="F40" s="369"/>
      <c r="G40" s="369"/>
      <c r="H40" s="369"/>
      <c r="I40" s="369"/>
      <c r="J40" s="369"/>
      <c r="K40" s="369"/>
    </row>
    <row r="41" spans="1:11" ht="15">
      <c r="A41" s="400"/>
      <c r="B41" s="400"/>
      <c r="C41" s="400"/>
      <c r="D41" s="400"/>
      <c r="F41" s="369"/>
      <c r="G41" s="369"/>
      <c r="H41" s="369"/>
      <c r="I41" s="369"/>
      <c r="J41" s="369"/>
      <c r="K41" s="369"/>
    </row>
    <row r="42" spans="1:11" ht="15">
      <c r="A42" s="401"/>
      <c r="B42" s="400"/>
      <c r="C42" s="400"/>
      <c r="D42" s="400"/>
      <c r="F42" s="369"/>
      <c r="G42" s="369"/>
      <c r="H42" s="369"/>
      <c r="I42" s="369"/>
      <c r="J42" s="369"/>
      <c r="K42" s="369"/>
    </row>
    <row r="43" spans="1:11" ht="15">
      <c r="A43" s="400"/>
      <c r="B43" s="400"/>
      <c r="C43" s="400"/>
      <c r="D43" s="400"/>
      <c r="F43" s="369"/>
      <c r="G43" s="369"/>
      <c r="H43" s="369"/>
      <c r="I43" s="369"/>
      <c r="J43" s="369"/>
      <c r="K43" s="369"/>
    </row>
    <row r="44" spans="1:11" ht="15">
      <c r="A44" s="402"/>
      <c r="B44" s="400"/>
      <c r="C44" s="454"/>
      <c r="D44" s="454"/>
      <c r="E44" s="454"/>
      <c r="F44" s="369"/>
      <c r="G44" s="369"/>
      <c r="H44" s="369"/>
      <c r="I44" s="369"/>
      <c r="J44" s="369"/>
      <c r="K44" s="369"/>
    </row>
    <row r="45" spans="1:5" ht="12.75">
      <c r="A45" s="403"/>
      <c r="B45" s="403"/>
      <c r="C45" s="403"/>
      <c r="D45" s="403"/>
      <c r="E45" s="403"/>
    </row>
    <row r="46" spans="1:5" ht="25.5" customHeight="1">
      <c r="A46" s="455"/>
      <c r="B46" s="455"/>
      <c r="C46" s="455"/>
      <c r="D46" s="455"/>
      <c r="E46" s="455"/>
    </row>
    <row r="47" spans="1:5" ht="25.5" customHeight="1">
      <c r="A47" s="404"/>
      <c r="B47" s="404"/>
      <c r="C47" s="404"/>
      <c r="D47" s="404"/>
      <c r="E47" s="404"/>
    </row>
    <row r="48" spans="1:5" ht="25.5" customHeight="1">
      <c r="A48" s="455"/>
      <c r="B48" s="455"/>
      <c r="C48" s="455"/>
      <c r="D48" s="455"/>
      <c r="E48" s="455"/>
    </row>
    <row r="49" spans="1:5" s="406" customFormat="1" ht="12.75">
      <c r="A49" s="405"/>
      <c r="B49" s="405"/>
      <c r="C49" s="405"/>
      <c r="D49" s="405"/>
      <c r="E49" s="405"/>
    </row>
    <row r="50" spans="1:5" s="408" customFormat="1" ht="15.75">
      <c r="A50" s="407"/>
      <c r="B50" s="405"/>
      <c r="C50" s="405"/>
      <c r="D50" s="405"/>
      <c r="E50" s="405"/>
    </row>
    <row r="51" spans="1:5" s="410" customFormat="1" ht="8.25">
      <c r="A51" s="409"/>
      <c r="B51" s="409"/>
      <c r="C51" s="409"/>
      <c r="D51" s="409"/>
      <c r="E51" s="409"/>
    </row>
    <row r="52" spans="1:5" s="408" customFormat="1" ht="16.5" customHeight="1">
      <c r="A52" s="451"/>
      <c r="B52" s="451"/>
      <c r="C52" s="451"/>
      <c r="D52" s="451"/>
      <c r="E52" s="411"/>
    </row>
    <row r="53" spans="1:5" s="408" customFormat="1" ht="16.5" customHeight="1">
      <c r="A53" s="451"/>
      <c r="B53" s="452"/>
      <c r="C53" s="452"/>
      <c r="D53" s="452"/>
      <c r="E53" s="411"/>
    </row>
    <row r="54" spans="1:5" s="408" customFormat="1" ht="15.75">
      <c r="A54" s="451"/>
      <c r="B54" s="412"/>
      <c r="C54" s="412"/>
      <c r="D54" s="412"/>
      <c r="E54" s="411"/>
    </row>
    <row r="55" spans="1:4" s="408" customFormat="1" ht="15.75">
      <c r="A55" s="413"/>
      <c r="B55" s="414"/>
      <c r="C55" s="414"/>
      <c r="D55" s="414"/>
    </row>
    <row r="56" spans="1:4" s="408" customFormat="1" ht="15.75">
      <c r="A56" s="413"/>
      <c r="B56" s="414"/>
      <c r="C56" s="414"/>
      <c r="D56" s="414"/>
    </row>
    <row r="57" spans="1:4" s="408" customFormat="1" ht="15.75">
      <c r="A57" s="413"/>
      <c r="B57" s="414"/>
      <c r="C57" s="414"/>
      <c r="D57" s="414"/>
    </row>
    <row r="58" spans="1:4" s="408" customFormat="1" ht="15.75">
      <c r="A58" s="413"/>
      <c r="B58" s="414"/>
      <c r="C58" s="414"/>
      <c r="D58" s="414"/>
    </row>
    <row r="59" spans="1:4" s="408" customFormat="1" ht="15.75">
      <c r="A59" s="413"/>
      <c r="B59" s="414"/>
      <c r="C59" s="414"/>
      <c r="D59" s="414"/>
    </row>
    <row r="60" spans="1:4" s="408" customFormat="1" ht="15.75">
      <c r="A60" s="415"/>
      <c r="B60" s="416"/>
      <c r="C60" s="416"/>
      <c r="D60" s="416"/>
    </row>
    <row r="61" spans="1:4" s="408" customFormat="1" ht="15.75">
      <c r="A61" s="413"/>
      <c r="B61" s="414"/>
      <c r="C61" s="414"/>
      <c r="D61" s="414"/>
    </row>
    <row r="62" spans="1:4" s="408" customFormat="1" ht="15.75">
      <c r="A62" s="413"/>
      <c r="B62" s="414"/>
      <c r="C62" s="414"/>
      <c r="D62" s="414"/>
    </row>
    <row r="63" spans="1:4" s="408" customFormat="1" ht="15.75">
      <c r="A63" s="413"/>
      <c r="B63" s="414"/>
      <c r="C63" s="414"/>
      <c r="D63" s="414"/>
    </row>
    <row r="64" spans="1:4" s="408" customFormat="1" ht="15.75">
      <c r="A64" s="415"/>
      <c r="B64" s="416"/>
      <c r="C64" s="416"/>
      <c r="D64" s="416"/>
    </row>
    <row r="65" s="410" customFormat="1" ht="8.25"/>
    <row r="66" spans="1:4" s="408" customFormat="1" ht="15.75">
      <c r="A66" s="453"/>
      <c r="B66" s="453"/>
      <c r="C66" s="453"/>
      <c r="D66" s="453"/>
    </row>
    <row r="67" s="408" customFormat="1" ht="12.75"/>
    <row r="68" s="408" customFormat="1" ht="12.75"/>
    <row r="69" s="408" customFormat="1" ht="12.75"/>
    <row r="70" s="408" customFormat="1" ht="12.75"/>
    <row r="71" s="408" customFormat="1" ht="15">
      <c r="A71" s="417"/>
    </row>
    <row r="72" spans="1:4" s="408" customFormat="1" ht="15">
      <c r="A72" s="450"/>
      <c r="B72" s="450"/>
      <c r="C72" s="450"/>
      <c r="D72" s="450"/>
    </row>
    <row r="73" spans="1:4" s="408" customFormat="1" ht="15">
      <c r="A73" s="450"/>
      <c r="B73" s="450"/>
      <c r="C73" s="450"/>
      <c r="D73" s="450"/>
    </row>
    <row r="74" spans="1:4" s="408" customFormat="1" ht="15">
      <c r="A74" s="450"/>
      <c r="B74" s="450"/>
      <c r="C74" s="450"/>
      <c r="D74" s="450"/>
    </row>
    <row r="75" spans="1:4" s="408" customFormat="1" ht="15">
      <c r="A75" s="450"/>
      <c r="B75" s="450"/>
      <c r="C75" s="450"/>
      <c r="D75" s="450"/>
    </row>
    <row r="76" spans="1:4" s="408" customFormat="1" ht="15">
      <c r="A76" s="450"/>
      <c r="B76" s="450"/>
      <c r="C76" s="450"/>
      <c r="D76" s="450"/>
    </row>
    <row r="77" spans="1:4" s="408" customFormat="1" ht="15">
      <c r="A77" s="450"/>
      <c r="B77" s="450"/>
      <c r="C77" s="450"/>
      <c r="D77" s="450"/>
    </row>
    <row r="78" spans="1:4" s="408" customFormat="1" ht="15">
      <c r="A78" s="450"/>
      <c r="B78" s="450"/>
      <c r="C78" s="450"/>
      <c r="D78" s="450"/>
    </row>
    <row r="79" s="408" customFormat="1" ht="12.75"/>
    <row r="80" s="408" customFormat="1" ht="12.75"/>
    <row r="81" s="408" customFormat="1" ht="12.75"/>
    <row r="82" s="408" customFormat="1" ht="12.75"/>
    <row r="83" s="408" customFormat="1" ht="12.75"/>
    <row r="84" s="408" customFormat="1" ht="12.75"/>
    <row r="85" s="408" customFormat="1" ht="12.75"/>
    <row r="86" s="408" customFormat="1" ht="12.75"/>
    <row r="87" s="408" customFormat="1" ht="12.75"/>
    <row r="88" s="408" customFormat="1" ht="12.75"/>
    <row r="89" s="408" customFormat="1" ht="12.75"/>
    <row r="90" s="408" customFormat="1" ht="12.75"/>
    <row r="91" s="408" customFormat="1" ht="12.75"/>
    <row r="92" s="408" customFormat="1" ht="12.75"/>
    <row r="93" s="408" customFormat="1" ht="12.75"/>
    <row r="94" s="408" customFormat="1" ht="12.75"/>
    <row r="95" s="408" customFormat="1" ht="12.75"/>
    <row r="96" s="408" customFormat="1" ht="12.75"/>
    <row r="97" s="408" customFormat="1" ht="12.75"/>
    <row r="98" s="408" customFormat="1" ht="12.75"/>
    <row r="99" s="408" customFormat="1" ht="12.75"/>
    <row r="100" s="408" customFormat="1" ht="12.75"/>
    <row r="101" s="408" customFormat="1" ht="12.75"/>
    <row r="102" s="408" customFormat="1" ht="12.75"/>
    <row r="103" s="408" customFormat="1" ht="12.75"/>
    <row r="104" s="408" customFormat="1" ht="12.75"/>
    <row r="105" s="408" customFormat="1" ht="12.75"/>
    <row r="106" s="408" customFormat="1" ht="12.75"/>
    <row r="107" s="408" customFormat="1" ht="12.75"/>
    <row r="108" s="408" customFormat="1" ht="12.75"/>
    <row r="109" s="408" customFormat="1" ht="12.75"/>
    <row r="110" s="408" customFormat="1" ht="12.75"/>
    <row r="111" s="408" customFormat="1" ht="12.75"/>
    <row r="112" s="408" customFormat="1" ht="12.75"/>
    <row r="113" s="408" customFormat="1" ht="12.75"/>
    <row r="114" s="408" customFormat="1" ht="12.75"/>
    <row r="115" s="408" customFormat="1" ht="12.75"/>
    <row r="116" s="408" customFormat="1" ht="12.75"/>
    <row r="117" s="408" customFormat="1" ht="12.75"/>
    <row r="118" s="408" customFormat="1" ht="12.75"/>
    <row r="119" s="408" customFormat="1" ht="12.75"/>
    <row r="120" s="408" customFormat="1" ht="12.75"/>
    <row r="121" s="408" customFormat="1" ht="12.75"/>
    <row r="122" s="408" customFormat="1" ht="12.75"/>
    <row r="123" s="408" customFormat="1" ht="12.75"/>
    <row r="124" s="408" customFormat="1" ht="12.75"/>
    <row r="125" s="408" customFormat="1" ht="12.75"/>
    <row r="126" s="408" customFormat="1" ht="12.75"/>
    <row r="127" s="408" customFormat="1" ht="12.75"/>
    <row r="128" s="408" customFormat="1" ht="12.75"/>
    <row r="129" s="408" customFormat="1" ht="12.75"/>
    <row r="130" s="408" customFormat="1" ht="12.75"/>
    <row r="131" s="408" customFormat="1" ht="12.75"/>
    <row r="132" s="408" customFormat="1" ht="12.75"/>
    <row r="133" s="408" customFormat="1" ht="12.75"/>
    <row r="134" s="408" customFormat="1" ht="12.75"/>
    <row r="135" s="408" customFormat="1" ht="12.75"/>
    <row r="136" s="408" customFormat="1" ht="12.75"/>
    <row r="137" s="408" customFormat="1" ht="12.75"/>
    <row r="138" s="408" customFormat="1" ht="12.75"/>
    <row r="139" s="408" customFormat="1" ht="12.75"/>
    <row r="140" s="408" customFormat="1" ht="12.75"/>
    <row r="141" s="408" customFormat="1" ht="12.75"/>
    <row r="142" s="408" customFormat="1" ht="12.75"/>
    <row r="143" s="408" customFormat="1" ht="12.75"/>
    <row r="144" s="408" customFormat="1" ht="12.75"/>
    <row r="145" s="408" customFormat="1" ht="12.75"/>
    <row r="146" s="408" customFormat="1" ht="12.75"/>
    <row r="147" s="408" customFormat="1" ht="12.75"/>
    <row r="148" s="408" customFormat="1" ht="12.75"/>
    <row r="149" s="408" customFormat="1" ht="12.75"/>
    <row r="150" s="408" customFormat="1" ht="12.75"/>
    <row r="151" s="408" customFormat="1" ht="12.75"/>
    <row r="152" s="408" customFormat="1" ht="12.75"/>
    <row r="153" s="408" customFormat="1" ht="12.75"/>
  </sheetData>
  <sheetProtection formatCells="0" formatColumns="0" formatRows="0" insertColumns="0" insertRows="0" insertHyperlinks="0" deleteColumns="0" deleteRows="0" selectLockedCells="1" sort="0" autoFilter="0" pivotTables="0"/>
  <mergeCells count="32">
    <mergeCell ref="A1:E1"/>
    <mergeCell ref="A3:E3"/>
    <mergeCell ref="B5:E5"/>
    <mergeCell ref="B6:E6"/>
    <mergeCell ref="B7:E7"/>
    <mergeCell ref="B8:E8"/>
    <mergeCell ref="B9:E9"/>
    <mergeCell ref="B10:E10"/>
    <mergeCell ref="A12:A13"/>
    <mergeCell ref="B12:D12"/>
    <mergeCell ref="E12:E13"/>
    <mergeCell ref="A28:D28"/>
    <mergeCell ref="C44:E44"/>
    <mergeCell ref="A46:E46"/>
    <mergeCell ref="A48:E48"/>
    <mergeCell ref="A52:D52"/>
    <mergeCell ref="A34:D34"/>
    <mergeCell ref="A35:D35"/>
    <mergeCell ref="A36:D36"/>
    <mergeCell ref="A37:E37"/>
    <mergeCell ref="A38:D38"/>
    <mergeCell ref="A40:E40"/>
    <mergeCell ref="A75:D75"/>
    <mergeCell ref="A76:D76"/>
    <mergeCell ref="A77:D77"/>
    <mergeCell ref="A78:D78"/>
    <mergeCell ref="A53:A54"/>
    <mergeCell ref="B53:D53"/>
    <mergeCell ref="A66:D66"/>
    <mergeCell ref="A72:D72"/>
    <mergeCell ref="A73:D73"/>
    <mergeCell ref="A74:D74"/>
  </mergeCells>
  <conditionalFormatting sqref="E26">
    <cfRule type="cellIs" priority="1" dxfId="1" operator="equal" stopIfTrue="1">
      <formula>"INADEQUADO"</formula>
    </cfRule>
    <cfRule type="cellIs" priority="2" dxfId="0" operator="equal" stopIfTrue="1">
      <formula>"OK"</formula>
    </cfRule>
  </conditionalFormatting>
  <dataValidations count="4">
    <dataValidation type="decimal" allowBlank="1" showInputMessage="1" showErrorMessage="1" promptTitle="COMO PREENCHER:" prompt="- DE 0% A 100% CONFORME APLICADO PELA PREFEITURA NA NOTA PARA MÃO DE OBRA!" errorTitle="ERRO" error="Digite a % da Nota em que se incide o ISS" sqref="B9:E9">
      <formula1>0</formula1>
      <formula2>1</formula2>
    </dataValidation>
    <dataValidation errorStyle="warning" allowBlank="1" showInputMessage="1" showErrorMessage="1" promptTitle="NOTE:" prompt="&lt;=== ADEQUAR PARA OS LIMITES DO BDI ESTABELECIDOS CONFORME TCU ACÓRDÃO 2622/2013 !" sqref="E26"/>
    <dataValidation type="decimal" allowBlank="1" showInputMessage="1" showErrorMessage="1" promptTitle="COMO PREENCHER:" prompt="- SE ONERADO: 0%&#10;&#10;- SE DESONERADO: ALÍQUOTA DE 4,5% DA RECEITA BRUTA" errorTitle="ERRO" error="- SE ONERADO = 0%&#10;&#10;- SE DESONERADO = ALÍQUOTA DE 4,5% DA RECEITA BRUTA" sqref="E22">
      <formula1>B22</formula1>
      <formula2>D22</formula2>
    </dataValidation>
    <dataValidation type="decimal" allowBlank="1" showInputMessage="1" showErrorMessage="1" errorTitle="ERRO" error="O VALOR ESTÁ FORA DOS LIMITES ESTABELECIDOS PELO TCU ACÓRDÃO 2622/2013 !" sqref="E14:E21">
      <formula1>B14</formula1>
      <formula2>D14</formula2>
    </dataValidation>
  </dataValidations>
  <printOptions horizontalCentered="1"/>
  <pageMargins left="1.1811023622047245" right="0.7874015748031497" top="1.1811023622047245" bottom="0.7874015748031497" header="0.5118110236220472" footer="0.5118110236220472"/>
  <pageSetup fitToHeight="1" fitToWidth="1" horizontalDpi="600" verticalDpi="600" orientation="portrait" paperSize="9" scale="80" r:id="rId2"/>
  <headerFooter alignWithMargins="0"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metroquattro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Eduardo Miranda Lopes</cp:lastModifiedBy>
  <cp:lastPrinted>2020-08-28T18:50:43Z</cp:lastPrinted>
  <dcterms:created xsi:type="dcterms:W3CDTF">2002-03-18T18:34:43Z</dcterms:created>
  <dcterms:modified xsi:type="dcterms:W3CDTF">2020-10-26T17:46:38Z</dcterms:modified>
  <cp:category/>
  <cp:version/>
  <cp:contentType/>
  <cp:contentStatus/>
</cp:coreProperties>
</file>