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1570" windowHeight="7920" tabRatio="827" activeTab="0"/>
  </bookViews>
  <sheets>
    <sheet name="PLANILHA" sheetId="1" r:id="rId1"/>
    <sheet name="RESUMO" sheetId="2" r:id="rId2"/>
    <sheet name="CRONOGRAMA" sheetId="3" r:id="rId3"/>
    <sheet name="BDI " sheetId="4" r:id="rId4"/>
  </sheets>
  <externalReferences>
    <externalReference r:id="rId7"/>
  </externalReferences>
  <definedNames>
    <definedName name="_xlnm.Print_Area" localSheetId="3">'BDI '!$A$2:$E$44</definedName>
    <definedName name="_xlnm.Print_Area" localSheetId="2">'CRONOGRAMA'!$A$1:$G$33</definedName>
    <definedName name="_xlnm.Print_Area" localSheetId="0">'PLANILHA'!$A$2:$L$296</definedName>
    <definedName name="_xlnm.Print_Area" localSheetId="1">'RESUMO'!$A$1:$D$23</definedName>
    <definedName name="sigla_obras">'[1]Base dados - TCU 2622_2013'!$A$7:$A$14</definedName>
    <definedName name="sigla_sn">'[1]Base dados - TCU 2622_2013'!$A$2:$A$3</definedName>
    <definedName name="_xlnm.Print_Titles" localSheetId="2">'CRONOGRAMA'!$1:$14</definedName>
    <definedName name="_xlnm.Print_Titles" localSheetId="0">'PLANILHA'!$2:$8</definedName>
    <definedName name="_xlnm.Print_Titles" localSheetId="1">'RESUMO'!$8:$12</definedName>
  </definedNames>
  <calcPr fullCalcOnLoad="1" fullPrecision="0"/>
</workbook>
</file>

<file path=xl/sharedStrings.xml><?xml version="1.0" encoding="utf-8"?>
<sst xmlns="http://schemas.openxmlformats.org/spreadsheetml/2006/main" count="926" uniqueCount="682">
  <si>
    <t>4.6</t>
  </si>
  <si>
    <t>4.6.1</t>
  </si>
  <si>
    <t>4.6.1.1</t>
  </si>
  <si>
    <t>4.7.1</t>
  </si>
  <si>
    <t>4.7.1.1</t>
  </si>
  <si>
    <t>pç</t>
  </si>
  <si>
    <t>LOUÇAS, METAIS E ACESSÓRIOS</t>
  </si>
  <si>
    <t>INSTALAÇÕES HIDRÁULICAS E SANITÁRIAS</t>
  </si>
  <si>
    <t>Almoxarife</t>
  </si>
  <si>
    <t>RESUMO GERAL</t>
  </si>
  <si>
    <t>ITEM</t>
  </si>
  <si>
    <t>DISCRIMINAÇÃO</t>
  </si>
  <si>
    <t>PREÇO TOTAL</t>
  </si>
  <si>
    <t xml:space="preserve">CUSTO TOTAL </t>
  </si>
  <si>
    <t>PAISAGISMO</t>
  </si>
  <si>
    <t>PREPARO DO SOLO PARA PLANTIO</t>
  </si>
  <si>
    <t>VEGETAÇÃO</t>
  </si>
  <si>
    <t>05.00.000</t>
  </si>
  <si>
    <t>06.00.000</t>
  </si>
  <si>
    <t>07.00.000</t>
  </si>
  <si>
    <t>SERVIÇOS COMPLEMENTARES</t>
  </si>
  <si>
    <t>B.D.I.</t>
  </si>
  <si>
    <t>%</t>
  </si>
  <si>
    <t>TOTAL GERAL</t>
  </si>
  <si>
    <t>ACESSÓRIOS</t>
  </si>
  <si>
    <t>Vale transporte</t>
  </si>
  <si>
    <t>cj</t>
  </si>
  <si>
    <t>Locação da obra</t>
  </si>
  <si>
    <t>m3</t>
  </si>
  <si>
    <t>Sub Total</t>
  </si>
  <si>
    <t>REGISTROS VÁLVULAS E ACESSÓRIOS - ÁGUA FRIA</t>
  </si>
  <si>
    <t>TUBULAÇÕES E CONEXÕES - ESGOTO E ÁGUAS PLUVIAIS</t>
  </si>
  <si>
    <t xml:space="preserve"> </t>
  </si>
  <si>
    <t>SERVIÇOS GERAIS</t>
  </si>
  <si>
    <t>oe</t>
  </si>
  <si>
    <t>m2</t>
  </si>
  <si>
    <t>mês</t>
  </si>
  <si>
    <t>Bebedouro</t>
  </si>
  <si>
    <t>un</t>
  </si>
  <si>
    <t>Ferramentas leves</t>
  </si>
  <si>
    <t>Transportes</t>
  </si>
  <si>
    <t>1.00</t>
  </si>
  <si>
    <t>R$</t>
  </si>
  <si>
    <t>2.00</t>
  </si>
  <si>
    <t>5.00</t>
  </si>
  <si>
    <t>6.00</t>
  </si>
  <si>
    <t>7.00</t>
  </si>
  <si>
    <t>PERCENTUAL SIMPLES</t>
  </si>
  <si>
    <t>TOTAL SIMPLES</t>
  </si>
  <si>
    <t>PERCENTUAL ACUMULADO</t>
  </si>
  <si>
    <t>TOTAL ACUMULADO</t>
  </si>
  <si>
    <t>Limpeza da obra</t>
  </si>
  <si>
    <t>Administração da obra</t>
  </si>
  <si>
    <t xml:space="preserve">Mestre de obras </t>
  </si>
  <si>
    <t xml:space="preserve">Encarregado de pedreiro </t>
  </si>
  <si>
    <t xml:space="preserve">Encarregados de Instalações </t>
  </si>
  <si>
    <t>Servente de carga/descarga e limpeza</t>
  </si>
  <si>
    <t>Apontador</t>
  </si>
  <si>
    <t xml:space="preserve">Vigias noturno </t>
  </si>
  <si>
    <t>Materiais de Consumo</t>
  </si>
  <si>
    <t>Refeições</t>
  </si>
  <si>
    <t>Café da manhã</t>
  </si>
  <si>
    <t>TUBULAÇÕES E CONEXÕES - ÁGUA FRIA</t>
  </si>
  <si>
    <t>m</t>
  </si>
  <si>
    <t>CRONOGRAMA FÍSICO-FINANCEIRO</t>
  </si>
  <si>
    <t>PLANILHA ORÇAMENTÁRIA</t>
  </si>
  <si>
    <t>1.1</t>
  </si>
  <si>
    <t>1.1.1</t>
  </si>
  <si>
    <t>2.1</t>
  </si>
  <si>
    <t>2.1.1</t>
  </si>
  <si>
    <t>2.2</t>
  </si>
  <si>
    <t>2.2.1</t>
  </si>
  <si>
    <t>2.3</t>
  </si>
  <si>
    <t>2.3.1</t>
  </si>
  <si>
    <t>2.3.2</t>
  </si>
  <si>
    <t>4.1</t>
  </si>
  <si>
    <t>4.1.1</t>
  </si>
  <si>
    <t>4.1.2</t>
  </si>
  <si>
    <t>4.1.2.1</t>
  </si>
  <si>
    <t>4.2</t>
  </si>
  <si>
    <t>4.2.1</t>
  </si>
  <si>
    <t>4.2.1.1</t>
  </si>
  <si>
    <t>4.2.2</t>
  </si>
  <si>
    <t>4.3</t>
  </si>
  <si>
    <t>4.3.1</t>
  </si>
  <si>
    <t>4.3.1.1</t>
  </si>
  <si>
    <t>4.4</t>
  </si>
  <si>
    <t>4.4.1</t>
  </si>
  <si>
    <t>4.4.1.1</t>
  </si>
  <si>
    <t>4.5</t>
  </si>
  <si>
    <t>4.5.1</t>
  </si>
  <si>
    <t>4.5.1.1</t>
  </si>
  <si>
    <t>5.1</t>
  </si>
  <si>
    <t>6.2</t>
  </si>
  <si>
    <t>Material de pronto socorro</t>
  </si>
  <si>
    <t>Copias de projetos</t>
  </si>
  <si>
    <t>Material de escritório</t>
  </si>
  <si>
    <t>Consumos de telefone para obra e fiscalização</t>
  </si>
  <si>
    <t xml:space="preserve">Consumo de energia </t>
  </si>
  <si>
    <t>Consumo de  agua</t>
  </si>
  <si>
    <t>Maquinas e Equipamentos de Construção Civil</t>
  </si>
  <si>
    <t>Material de consumo p/ máquinas (discos de policorte, serras, maquita, lixadeira etc.)</t>
  </si>
  <si>
    <t>Equipamentos de proteção individual</t>
  </si>
  <si>
    <t>Equipamentos de proteção coletiva</t>
  </si>
  <si>
    <t>Manutenção de canteiro</t>
  </si>
  <si>
    <t>Manutenção de equipamentos</t>
  </si>
  <si>
    <t>Viradeira de chapa</t>
  </si>
  <si>
    <t>Rosqueadeira Eletrica</t>
  </si>
  <si>
    <t xml:space="preserve">Máquina de solda eletrica </t>
  </si>
  <si>
    <t>Outras despesas e taxas</t>
  </si>
  <si>
    <t>Anotação do contrato e RTs no CREA</t>
  </si>
  <si>
    <t xml:space="preserve">Alvará de construção  </t>
  </si>
  <si>
    <t xml:space="preserve">Seguro contra risco de engenharia </t>
  </si>
  <si>
    <t>Taxa de fiscalização de obra</t>
  </si>
  <si>
    <t>Taxas para retirada de habite-se</t>
  </si>
  <si>
    <t>Taxa de registro de contrato em cartório</t>
  </si>
  <si>
    <t>Caução de garantia do contrato</t>
  </si>
  <si>
    <t xml:space="preserve">Taxa de utilização de area pública </t>
  </si>
  <si>
    <t>CUSTO TOTAL</t>
  </si>
  <si>
    <t>01.00.000</t>
  </si>
  <si>
    <t>SERVIÇOS TECNICOS-PROFISSIONAIS</t>
  </si>
  <si>
    <t>ESTUDOS E PROJETOS</t>
  </si>
  <si>
    <t>02.00.000</t>
  </si>
  <si>
    <t>SERVIÇOS PRELIMINARES</t>
  </si>
  <si>
    <t>Canteiro de obras</t>
  </si>
  <si>
    <t>De edificações</t>
  </si>
  <si>
    <t>Terraplenagem</t>
  </si>
  <si>
    <t>03.00.000</t>
  </si>
  <si>
    <t>04.00.000</t>
  </si>
  <si>
    <t>ARQUITETURA E ELEMENTOS DE URBANISMO</t>
  </si>
  <si>
    <t>ARQUITETURA</t>
  </si>
  <si>
    <t>5.1.22</t>
  </si>
  <si>
    <t>5.1.23</t>
  </si>
  <si>
    <t>5.1.24</t>
  </si>
  <si>
    <t>5.1.25</t>
  </si>
  <si>
    <t>5.1.26</t>
  </si>
  <si>
    <t>5.2</t>
  </si>
  <si>
    <t>5.2.1</t>
  </si>
  <si>
    <t>5.2.2</t>
  </si>
  <si>
    <t>5.2.3</t>
  </si>
  <si>
    <t>5.2.4</t>
  </si>
  <si>
    <t>5.3</t>
  </si>
  <si>
    <t>5.3.1</t>
  </si>
  <si>
    <t>5.4</t>
  </si>
  <si>
    <t>5.4.5</t>
  </si>
  <si>
    <t>5.4.6</t>
  </si>
  <si>
    <t>6.1.1</t>
  </si>
  <si>
    <t>6.1.2</t>
  </si>
  <si>
    <t>6.2.1</t>
  </si>
  <si>
    <t>4.4.2</t>
  </si>
  <si>
    <t>Porteiro</t>
  </si>
  <si>
    <t xml:space="preserve">Recarga de extintores de incêndio </t>
  </si>
  <si>
    <t>Betoneiras (1)</t>
  </si>
  <si>
    <t>Betoneiras móvel (3)</t>
  </si>
  <si>
    <t>Compactador de solo (1)</t>
  </si>
  <si>
    <t>Guinchos e torres (2)</t>
  </si>
  <si>
    <t>Serras manuais (2)</t>
  </si>
  <si>
    <t>Serra circular (1)</t>
  </si>
  <si>
    <t>Vibradores (2)</t>
  </si>
  <si>
    <t>Maquita (2)</t>
  </si>
  <si>
    <t xml:space="preserve">Furadeiras para madeira e concreto (2) </t>
  </si>
  <si>
    <t>Policorte (1)</t>
  </si>
  <si>
    <t>Caminhão com carroceria (FRETE)</t>
  </si>
  <si>
    <t>Combustíveis (ADM)</t>
  </si>
  <si>
    <t>DISCRIMINAÇÃO DOS SERVIÇOS</t>
  </si>
  <si>
    <t>3.00</t>
  </si>
  <si>
    <t>4.00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</si>
  <si>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</si>
  <si>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</si>
  <si>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</si>
  <si>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</si>
  <si>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</si>
  <si>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</si>
  <si>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</si>
  <si>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</si>
  <si>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</si>
  <si>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CAIXAS ACESSÓRIOS</t>
  </si>
  <si>
    <t>INSTALAÇÕES ELÉTRICAS E ELETRÔNICAS</t>
  </si>
  <si>
    <t>ELETRODUTOS, CAIXAS, TOMADAS, FIOS E CONEXÕES</t>
  </si>
  <si>
    <t>LUMINÁRIAS</t>
  </si>
  <si>
    <t>MAT. R$</t>
  </si>
  <si>
    <t>M.O. R$</t>
  </si>
  <si>
    <t>UND</t>
  </si>
  <si>
    <t>TOTAL R$</t>
  </si>
  <si>
    <t>TOTAL</t>
  </si>
  <si>
    <t>Sub-total</t>
  </si>
  <si>
    <t>Engenheiro Civil</t>
  </si>
  <si>
    <t>TOTAL SERVIÇOS PRELMINARES</t>
  </si>
  <si>
    <t>TOTAL SERVIÇOS TECNICOS-PROFISSIONAIS</t>
  </si>
  <si>
    <t>TOTAL ARQUITETURA E ELEMENTOS DE URBANISMO</t>
  </si>
  <si>
    <t>TOTAL INSTALAÇÕES HIDRÁULICAS E SANITÁRIAS</t>
  </si>
  <si>
    <t>TOTAL INSTALAÇÕES ELÉTRICAS E ELETRÔNICAS</t>
  </si>
  <si>
    <t>TOTAL SERVIÇOS COMPLEMENTARES</t>
  </si>
  <si>
    <t>TOTAL SERVIÇOS GERAIS</t>
  </si>
  <si>
    <t>R$ C/ BDI</t>
  </si>
  <si>
    <t>4.2.2.1</t>
  </si>
  <si>
    <t>4.2.2.2</t>
  </si>
  <si>
    <t>4.4.3.1</t>
  </si>
  <si>
    <t>6.2.2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</si>
  <si>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</si>
  <si>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</si>
  <si>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</si>
  <si>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</si>
  <si>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</si>
  <si>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</si>
  <si>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</si>
  <si>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</si>
  <si>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</si>
  <si>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</si>
  <si>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</si>
  <si>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</si>
  <si>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</si>
  <si>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</si>
  <si>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</si>
  <si>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</si>
  <si>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</si>
  <si>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</si>
  <si>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</si>
  <si>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</si>
  <si>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9.3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</si>
  <si>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</si>
  <si>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</si>
  <si>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</si>
  <si>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</si>
  <si>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</si>
  <si>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</si>
  <si>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</si>
  <si>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</si>
  <si>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</si>
  <si>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</si>
  <si>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</si>
  <si>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</si>
  <si>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</si>
  <si>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</si>
  <si>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9.3.15</t>
  </si>
  <si>
    <t>9.3.16</t>
  </si>
  <si>
    <t>9.3.17</t>
  </si>
  <si>
    <t>9.3.18</t>
  </si>
  <si>
    <t>9.3.19</t>
  </si>
  <si>
    <t>9.3.20</t>
  </si>
  <si>
    <t>9.3.21</t>
  </si>
  <si>
    <t>9.3.22</t>
  </si>
  <si>
    <t>9.4</t>
  </si>
  <si>
    <t>9.4.1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</si>
  <si>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</si>
  <si>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</si>
  <si>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</si>
  <si>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</si>
  <si>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</si>
  <si>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</si>
  <si>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</si>
  <si>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</si>
  <si>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9.5.18</t>
  </si>
  <si>
    <t>custo m2</t>
  </si>
  <si>
    <t>término 15 julho 2013</t>
  </si>
  <si>
    <t>inicio 15 março 2013</t>
  </si>
  <si>
    <t>ITEM R$</t>
  </si>
  <si>
    <t>UNITÁRIO MAT.+M.O. R$</t>
  </si>
  <si>
    <t>TOTAL MAT. R$</t>
  </si>
  <si>
    <t>TOTAL M.O. R$</t>
  </si>
  <si>
    <t>PRAZO EXECUÇÃO:</t>
  </si>
  <si>
    <t>CNPJ: XX.XXX.XXX/XXXX-XX</t>
  </si>
  <si>
    <t>SPO AREA ESPECIAL 2 - ASA SUL, BRASILIA - DF 70610-900</t>
  </si>
  <si>
    <t>Tel.: (61) 2020-3000</t>
  </si>
  <si>
    <t>2.4</t>
  </si>
  <si>
    <t>Demolição</t>
  </si>
  <si>
    <t>COD</t>
  </si>
  <si>
    <t>SINAPI - 97633</t>
  </si>
  <si>
    <t>QUANT.</t>
  </si>
  <si>
    <t xml:space="preserve">DEMOLIÇÃO DE REVESTIMENTO CERAMICO, DE FORMA MECANIZADA COM MARTELETE, SEM REAPROVEITAMENTO </t>
  </si>
  <si>
    <t>DEMOLIÇÃO DE LAJES, DE FORMA MECANIZADA COM MARTELETE, SEM REAPROVEITA</t>
  </si>
  <si>
    <t>SINAPI - 97629</t>
  </si>
  <si>
    <t>SBC - 23716</t>
  </si>
  <si>
    <t>REMOÇÃO DE ENTULHO DE OBRA EM CAMINHAO</t>
  </si>
  <si>
    <t>ESCAVACAO, CARGA E TRANSPORTE DE MATERIAL DE 1A CATEGORIA COM TRATOR SOBRE ESTEIRAS 347 HP E CACAMBA 6M3, DMT 50 A 200M</t>
  </si>
  <si>
    <t>PREPARO DE FUNDO DE VALA COM LARGURA MAIOR OU IGUAL A 1,5 M E MENOR UE 2,5 M, EM LOCAL COM NÍVEL ALTO DE INTERFERÊNCIA. AF_06/2016</t>
  </si>
  <si>
    <t>SBC - 120374 ALTERADO</t>
  </si>
  <si>
    <t>SINAPI - 94996</t>
  </si>
  <si>
    <t>EXECUÇÃO DE PASSEIO (CALÇADA) OU PISO DE CONCRETO COM CONCRETO MOLDADO IN LOCO, FEITO EM OBRA, ACABAMENTO CONVENCIONAL, ESPESSURA 10 CM, ARMADO</t>
  </si>
  <si>
    <t>SINAPI - 87758</t>
  </si>
  <si>
    <t>CONTRAPISO EM ARGAMASSA PRONTA, PREPARO MECÂNICO COM MISTURADOR 300 KG, APLICADO EM ÁREAS MOLHADAS SOBRE IMPERMEABILIZAÇÃO, ESPESSURA 3CM.</t>
  </si>
  <si>
    <t>SINAPI - 98560</t>
  </si>
  <si>
    <t>IMPERMEABILIZAÇÃO DE PISO COM ARGAMASSA DE CIMENTO E AREIA, COM ADITIVO IMPERMEABILIZANTE, E = 2CM.</t>
  </si>
  <si>
    <t>SINAPI - 98561</t>
  </si>
  <si>
    <t>IMPERMEABILIZAÇÃO DE PAREDES COM ARGAMASSA DE CIMENTO E AREIA, COM ADITIVO IMPERMEABILIZANTE, E = 2CM.</t>
  </si>
  <si>
    <t>SINAPI - 87879</t>
  </si>
  <si>
    <t>CHAPISCO APLICADO EM ALVENARIAS E ESTRUTURAS DE CONCRETO INTERNAS, COM COLHER DE PEDREIRO. ARGAMASSA TRAÇO 1:3 COM PREPARO EM BETONEIRA 400L.</t>
  </si>
  <si>
    <t xml:space="preserve">REVESTIMENTO PAREDE CERAMICO RETANGULAR 0,32X0,60 COR BRANCA  </t>
  </si>
  <si>
    <t>SINAPI - 88488</t>
  </si>
  <si>
    <t>APLICAÇÃO MANUAL DE PINTURA COM TINTA LÁTEX ACRÍLICA EM TETO, DUAS DEMÃOS</t>
  </si>
  <si>
    <t>SINAPI - 88496</t>
  </si>
  <si>
    <t>APLICAÇÃO E LIXAMENTO DE MASSA LÁTEX EM TETO, DUAS DEMÃOS</t>
  </si>
  <si>
    <t>SINAPI - 94573</t>
  </si>
  <si>
    <t>JANELA EM ALUMINIO ANODIZADO OU PINTURA ELETROSTATICA PRETA E COM VIDRO TEMPERADO DE 6MM COM BASCULA REFORÇADA 2,0X0,5m</t>
  </si>
  <si>
    <t>SINAPI - 91341</t>
  </si>
  <si>
    <t>PORTA EM ALUMÍNIO DE ABRIR TIPO VENEZIANA COM GUARNIÇÃO, FIXAÇÃO COM PARAFUSOS - FORNECIMENTO E INSTALAÇÃO.</t>
  </si>
  <si>
    <t>SINAPI - 79627</t>
  </si>
  <si>
    <t>BUCHA DE REDUCAO PVC ROSCAVEL, 1" X 3/4"</t>
  </si>
  <si>
    <t>BUCHA DE REDUCAO PVC ROSCAVEL 3/4" X 1/2"</t>
  </si>
  <si>
    <t>BUCHA DE REDUCAO DE PVC, SOLDAVEL, CURTA, COM 25 X 20 MM, PARA AGUA FRIA</t>
  </si>
  <si>
    <t>ORSE - 1230</t>
  </si>
  <si>
    <t>ORSE - 1228</t>
  </si>
  <si>
    <t>ORSE - 1071</t>
  </si>
  <si>
    <t>BUCHA DE REDUCAO DE PVC, SOLDAVEL, CURTA, COM 32 X 25 MM, PARA AGUA FRIA</t>
  </si>
  <si>
    <t>JOELHO 45º DE PVC RÍGIDO SOLDÁVEL, MARROM DIÂM = 75MM</t>
  </si>
  <si>
    <t>ORSE - 1131</t>
  </si>
  <si>
    <t>JOELHO 45º DE PVC RÍGIDO SOLDÁVEL, MARROM DIÂM = 110MM</t>
  </si>
  <si>
    <t>ORSE - 1133</t>
  </si>
  <si>
    <t>JOELHO DE 90º DE PVC RÍGIDO ROSCÁVEL, DIÂM = 1"</t>
  </si>
  <si>
    <t>ORSE - 1284</t>
  </si>
  <si>
    <t>JOELHO DE 90º DE PVC RÍGIDO ROSCÁVEL, DIÂM = 1/2''</t>
  </si>
  <si>
    <t>ORSE - 1282</t>
  </si>
  <si>
    <t>JOELHO DE 90º DE PVC RÍGIDO ROSCÁVEL, DIÂM = 3/4''</t>
  </si>
  <si>
    <t>ORSE - 1283</t>
  </si>
  <si>
    <t>JOELHO 90º DE PVC RÍGIDO SOLDÁVEL, MARROM DIÂM = 20MM</t>
  </si>
  <si>
    <t>ORSE - 1134</t>
  </si>
  <si>
    <t>JOELHO 90º DE PVC RÍGIDO SOLDÁVEL, MARROM DIÂM = 32MM</t>
  </si>
  <si>
    <t>JOELHO 90º DE PVC RÍGIDO SOLDÁVEL, MARROM DIÂM = 110MM</t>
  </si>
  <si>
    <t>JOELHO 90º DE PVC RÍGIDO SOLDÁVEL, MARROM DIÂM = 25MM</t>
  </si>
  <si>
    <t>ORSE - 1135</t>
  </si>
  <si>
    <t>ORSE - 1136</t>
  </si>
  <si>
    <t>ORSE - 1142</t>
  </si>
  <si>
    <t>TÊ DE REDUÇÃO 90º DE PVC RÍGIDO ROSCÁVEL DIÂM = 3/4" X 1/2"</t>
  </si>
  <si>
    <t>ORSE - 1328</t>
  </si>
  <si>
    <t>TE DE REDUCAO 90 GRAUS SOLDAVEL 25 X 20 mm</t>
  </si>
  <si>
    <t>AGETOP CIVIL - 81420</t>
  </si>
  <si>
    <t>ORSE - 1354</t>
  </si>
  <si>
    <t>TÊ 90° REDUÇÃO PVC RÍGIDO ROSCAVEL DIÂM = 1" X 3/4"</t>
  </si>
  <si>
    <t>SINAPI - 89617</t>
  </si>
  <si>
    <t>TE, PVC, SOLDÁVEL, DN 25MM, INSTALADO EM PRUMADA DE ÁGUA - FORNECIMENTO E INSTALAÇÃO.</t>
  </si>
  <si>
    <t>ORSE - 1072</t>
  </si>
  <si>
    <t>SINAPI - 89986</t>
  </si>
  <si>
    <t>SINAPI - 89985</t>
  </si>
  <si>
    <t>SINAPI - 89353</t>
  </si>
  <si>
    <t>SINAPI - 94792</t>
  </si>
  <si>
    <t>SEINFRA - C4775</t>
  </si>
  <si>
    <t>VÁLVULA DE RETENÇÃO DE PVC P/ ESGOTO D=150MM</t>
  </si>
  <si>
    <t>TUBO CPVC RÍGIDO SOLDAVEL AQUATHERM PARA ÁGUA QUENTE, D = 22 MM</t>
  </si>
  <si>
    <t>ORSE - 9265</t>
  </si>
  <si>
    <t>TUBO, PPR, DN 25, CLASSE PN 25, INSTALADO EM RESERVAÇÃO DE ÁGUA DE EDIFICAÇÃO QUE POSSUA RESERVATÓRIO DE FIBRA/FIBROCIMENTO  FORNECIMENTO E INSTALAÇÃO.</t>
  </si>
  <si>
    <t>SINAPI - 96728</t>
  </si>
  <si>
    <t>TUBO PVC RÍGIDO ROSCÁVEL D = 3/4"</t>
  </si>
  <si>
    <t>ORSE - 1220</t>
  </si>
  <si>
    <t>TUBO PVC RÍGIDO ROSCÁVEL D = 1"</t>
  </si>
  <si>
    <t>TUBO PVC RÍGIDO ROSCÁVEL D = 1 1/4"</t>
  </si>
  <si>
    <t>TUBO PVC RÍGIDO ROSCÁVEL D = 1 1/2"</t>
  </si>
  <si>
    <t>TUBO PVC RÍGIDO ROSCÁVEL D = 2"</t>
  </si>
  <si>
    <t>TUBO PVC RÍGIDO ROSCÁVEL D = 2 1/2"</t>
  </si>
  <si>
    <t>TUBO PVC RÍGIDO ROSCÁVEL D = 4"</t>
  </si>
  <si>
    <t>ORSE - 1221</t>
  </si>
  <si>
    <t>ORSE - 1213</t>
  </si>
  <si>
    <t>ORSE - 1215</t>
  </si>
  <si>
    <t>ORSE - 1214</t>
  </si>
  <si>
    <t>ORSE - 1217</t>
  </si>
  <si>
    <t>ORSE - 1218</t>
  </si>
  <si>
    <t>TUBO DE PVC RÍGIDO BRANCO PXB COM VIROLA E ANEL DE BORRACHA, LINHA ESGOTO SÉRIE NORMAL, DN= 75 MM, INCLUSIVE CONEXÕES</t>
  </si>
  <si>
    <t>CPOS - 4602060</t>
  </si>
  <si>
    <t>SINAPI - 89726</t>
  </si>
  <si>
    <t>SINAPI - 89732</t>
  </si>
  <si>
    <r>
      <t xml:space="preserve">OBJETO: </t>
    </r>
    <r>
      <rPr>
        <b/>
        <sz val="12"/>
        <color indexed="8"/>
        <rFont val="Arial"/>
        <family val="2"/>
      </rPr>
      <t>REFORMA DA PISCINA (BANHEIROS E ESCADA)</t>
    </r>
  </si>
  <si>
    <t>SINAPI - 89739</t>
  </si>
  <si>
    <t>SINAPI - 89746</t>
  </si>
  <si>
    <t xml:space="preserve">JOELHO 90 GRAUS, PVC, SERIE NORMAL, ESGOTO PREDIAL, DN 40 MM, JUNTA SOLDÁVEL, FORNECIDO E INSTALADO EM RAMAL DE DESCARGA OU RAMAL DE ESGOTO SANITÁRIO. </t>
  </si>
  <si>
    <t xml:space="preserve">JOELHO 45 GRAUS, PVC, SERIE NORMAL, ESGOTO PREDIAL, DN 100 MM, JUNTA ELÁSTICA, FORNECIDO E INSTALADO EM RAMAL DE DESCARGA OU RAMAL DE ESGOTO SANITÁRIO. </t>
  </si>
  <si>
    <t xml:space="preserve">JOELHO 45 GRAUS, PVC, SERIE NORMAL, ESGOTO PREDIAL, DN 75 MM, JUNTA ELÁSTICA, FORNECIDO E INSTALADO EM RAMAL DE DESCARGA OU RAMAL DE ESGOTO SANITÁRIO. </t>
  </si>
  <si>
    <t xml:space="preserve">REGISTRO DE GAVETA BRUTO, LATÃO, ROSCÁVEL, 3/4", FORNECIDO E INSTALADO EM RAMAL DE ÁGUA. </t>
  </si>
  <si>
    <t>REGISTRO DE GAVETA BRUTO, LATÃO, ROSCÁVEL, 1/2", COM ACABAMENTO E CANOPLA CROMADOS. FORNECIDO E INSTALADO EM RAMAL DE ÁGUA.</t>
  </si>
  <si>
    <t xml:space="preserve">REGISTRO DE PRESSÃO BRUTO, LATÃO, ROSCÁVEL, 3/4", COM ACABAMENTO E CANOPLA CROMADOS. FORNECIDO E INSTALADO EM RAMAL DE ÁGUA. </t>
  </si>
  <si>
    <t>REGISTRO DE GAVETA BRUTO, LATÃO, ROSCÁVEL, 1, COM ACABAMENTO E CANOPLA CROMADOS, INSTALADO EM RESERVAÇÃO DE ÁGUA DE EDIFICAÇÃO QUE POSSUA RESERVATÓRIO DE FIBRA/FIBROCIMENTO  FORNECIMENTO E INSTALAÇÃO.</t>
  </si>
  <si>
    <t xml:space="preserve">JOELHO 45 GRAUS, PVC, SERIE NORMAL, ESGOTO PREDIAL, DN 50 MM, JUNTA ELÁSTICA, FORNECIDO E INSTALADO EM RAMAL DE DESCARGA OU RAMAL DE ESGOTO SANITÁRIO. </t>
  </si>
  <si>
    <t>SINAPI - 89724</t>
  </si>
  <si>
    <t>SINAPI - 89731</t>
  </si>
  <si>
    <t>SINAPI - 89737</t>
  </si>
  <si>
    <t>JOELHO 90 GRAUS, PVC, SERIE NORMAL, ESGOTO PREDIAL, DN 75 MM, JUNTA ELÁSTICA, FORNECIDO E INSTALADO EM RAMAL DE DESCARGA OU RAMAL DE ESGOTO SANITÁRIO.</t>
  </si>
  <si>
    <t xml:space="preserve">JOELHO 90 GRAUS, PVC, SERIE NORMAL, ESGOTO PREDIAL, DN 50 MM, JUNTA ELÁSTICA, FORNECIDO E INSTALADO EM RAMAL DE DESCARGA OU RAMAL DE ESGOTO SANITÁRIO. </t>
  </si>
  <si>
    <t>SINAPI - 89744</t>
  </si>
  <si>
    <t>JOELHO 90 GRAUS, PVC, SERIE NORMAL, ESGOTO PREDIAL, DN 100 MM, JUNTA ELÁSTICA, FORNECIDO E INSTALADO EM RAMAL DE DESCARGA OU RAMAL DE ESGOTO SANITÁRIO.</t>
  </si>
  <si>
    <t>SINAPI - 89795</t>
  </si>
  <si>
    <t>JUNÇÃO SIMPLES, PVC, SERIE NORMAL, ESGOTO PREDIAL, DN 75 X 75 MM, JUNTA ELÁSTICA, FORNECIDO E INSTALADO EM RAMAL DE DESCARGA OU RAMAL DE ESGOTO SANITÁRIO.</t>
  </si>
  <si>
    <t>SINAPI - 89692</t>
  </si>
  <si>
    <t>JUNÇÃO SIMPLES, PVC, SERIE R, ÁGUA PLUVIAL, DN 100 X 75 MM, JUNTA ELÁSTICA, FORNECIDO E INSTALADO EM CONDUTORES VERTICAIS DE ÁGUAS PLUVIAIS.</t>
  </si>
  <si>
    <t>LUVA SIMPLES, PVC, SERIE NORMAL, ESGOTO PREDIAL, DN 50 MM, JUNTA ELÁSTICA, FORNECIDO E INSTALADO EM RAMAL DE DESCARGA OU RAMAL DE ESGOTO SANITÁRIO.</t>
  </si>
  <si>
    <t>SINAPI - 89753</t>
  </si>
  <si>
    <t>LUVA SIMPLES, PVC, SERIE NORMAL, ESGOTO PREDIAL, DN 75 MM, JUNTA ELÁSTICA, FORNECIDO E INSTALADO EM RAMAL DE DESCARGA OU RAMAL DE ESGOTO SANITÁRIO.</t>
  </si>
  <si>
    <t>SINAPI - 89774</t>
  </si>
  <si>
    <t>LUVA SIMPLES, PVC, SERIE NORMAL, ESGOTO PREDIAL, DN 100 MM, JUNTA ELÁSTICA, FORNECIDO E INSTALADO EM RAMAL DE DESCARGA OU RAMAL DE ESGOTO SANITÁRIO.</t>
  </si>
  <si>
    <t>SINAPI - 89778</t>
  </si>
  <si>
    <t xml:space="preserve"> JOELHO 45 GRAUS, PVC, SERIE NORMAL, ESGOTO PREDIAL, DN 40 MM, JUNTA SOLDÁVEL, FORNECIDO E INSTALADO EM RAMAL DE DESCARGA OU RAMAL DE ESGOTO SANITÁRIO.</t>
  </si>
  <si>
    <t>SINAPI - 98110</t>
  </si>
  <si>
    <t>CAIXA DE GORDURA PEQUENA (CAPACIDADE: 19 L), CIRCULAR, EM PVC, DIÂMETRO INTERNO= 0,3 M.</t>
  </si>
  <si>
    <t>CAIXA DE INSPECAO EM ANEL DE CONCRETO PRE MOLDADO, COM 950MM DE ALTURA TOTAL. ANEIS COM ESP=50MM, DIAM.=600MM. EXCLUSIVE TAMPAO E ESCAVACAO - FORNECIMENTO E INSTALACAO</t>
  </si>
  <si>
    <t xml:space="preserve">SINAPI - 74166/002
</t>
  </si>
  <si>
    <t>SBC - 053490</t>
  </si>
  <si>
    <t>CAIXA SIFONADA PVC 150x150x50mm C/GRELHA ACO INOX</t>
  </si>
  <si>
    <t>AGETOP CIVIL - 082053</t>
  </si>
  <si>
    <t>PORTA GRELHA QUADRADO P/GREL.QUADRADA DIAM. 100 MM</t>
  </si>
  <si>
    <t>AGETOP CIVIL - 081697</t>
  </si>
  <si>
    <t>PROLONGAMENTO PARA CAIXA SIFONADA 250 MM</t>
  </si>
  <si>
    <t>AGETOP CIVIL - 081695</t>
  </si>
  <si>
    <t>PROLONGAMENTO PARA CAIXA SIFONADA 100 MM</t>
  </si>
  <si>
    <t>SBC - 053037</t>
  </si>
  <si>
    <t>RALO SIFONADO PVC QUADRADO 100x53x40</t>
  </si>
  <si>
    <t>VASO SANITARIO SIFONADO CONVENCIONAL PARA PCD SEM FURO FRONTAL COM LOUÇA BRANCA SEM ASSENTO, INCLUSO CONJUNTO DE LIGAÇÃO PARA BACIA SANITÁRIA AJUSTÁVEL - FORNECIMENTO E INSTALAÇÃO.</t>
  </si>
  <si>
    <t>SINAPI - 95472</t>
  </si>
  <si>
    <t>VASO SANITARIO PARA CAIXA ACOPLADA MONTE CARLO IP808 - DECA</t>
  </si>
  <si>
    <t>SBC - 190492</t>
  </si>
  <si>
    <t>AGETOP CIVIL - 080510</t>
  </si>
  <si>
    <t>ANEL DE VEDAÇÃO PARA VASO SANITÁRIO</t>
  </si>
  <si>
    <t>SBC - 190020</t>
  </si>
  <si>
    <t>ASSENTO PARA VASO SANITARIAO LINHA VOGUE CONFORTO - PNE</t>
  </si>
  <si>
    <t>SBC - 190021</t>
  </si>
  <si>
    <t>ASSENTO PARA VASO SANITARIO (TARGA/IZY/RAVENA/STUDIO SLOW)</t>
  </si>
  <si>
    <t>SBC - 190281</t>
  </si>
  <si>
    <t>PARAFUSOS CROMADOS PARA FIXACAO DE VASOS SANITARIOS</t>
  </si>
  <si>
    <t>CUBA DE SEMI-ENCAIXE, DIM. 49 X 40CM, INCEPA, LINHA OCEAN PACIFIC, REF. 63027 OU SIIMILAR, EXCLUSIVE SIFÃO, ENGATE, VÁLVULA E TORNEIRA</t>
  </si>
  <si>
    <t>ORSE - 7712</t>
  </si>
  <si>
    <t>ORSE - 9676</t>
  </si>
  <si>
    <t>TORNEIRA DE MESA COM FECHAMENTO AUTOMÁTICO, LINHA DECAMATIC ECO, REF.1173.C, DECA OU SIMILAR</t>
  </si>
  <si>
    <t>CPOS - 4403310</t>
  </si>
  <si>
    <t>TORNEIRA DE MESA PARA LAVATÓRIO, ACIONAMENTO HIDROMECÂNICO, COM REGISTRO INTEGRADO REGULADOR DE VAZÃO, EM LATÃO CROMADO, DN= 1/2´</t>
  </si>
  <si>
    <t>ORSE - 2008</t>
  </si>
  <si>
    <t>CUBA DE SOBREPOR (DECA LINHA CARRARA REF L34), COM SIFÃO CROMADO (DECA REF C1680), ENGATE CROMADO (DECA), TORNEIRA DE METAL (DECA REF1190) , VÁLVULA CROMADA (DECA REF1600) OU SIMILARES</t>
  </si>
  <si>
    <t>AGETOP CIVIL - 080564</t>
  </si>
  <si>
    <t>SIFAO FLEXIVEL UNIVERSAL ( SANFONADO) EM PVC CROMADO PARA LAVATORIO</t>
  </si>
  <si>
    <t>SUDECAP - 102522</t>
  </si>
  <si>
    <t>VAL.DESCARGA E ACAB.BENEFIT DOCOL PORTADOR DEFIC. OU EQUIVALENTE</t>
  </si>
  <si>
    <t>BARRA DE APOIO PARA BANHEIRO ALUMINIO POLIDO 90cm + PARAFUS</t>
  </si>
  <si>
    <t>BARRA DE APOIO PARA BANHEIRO ALUMINIO POLIDO 60cm + PARAFUSO</t>
  </si>
  <si>
    <t>SINAPI - 202322</t>
  </si>
  <si>
    <t>SINAPI - 202170</t>
  </si>
  <si>
    <t>SINAPI - 100875</t>
  </si>
  <si>
    <t>BANCO ARTICULADO, EM ACO INOX, PARA PCD, FIXADO NA PAREDE - FORNECIMENTO E INSTALAÇÃO</t>
  </si>
  <si>
    <t>SINAPI - 95545</t>
  </si>
  <si>
    <t>SABONETEIRA DE PAREDE EM METAL CROMADO, INCLUSO FIXAÇÃO</t>
  </si>
  <si>
    <t>SBC - 190389</t>
  </si>
  <si>
    <t>CHUVEIRO DE TETO ACQUA PLUS - 1990.C.TET - DECA</t>
  </si>
  <si>
    <t>ACABAMENTO ANTIVANDALISMO PARA VÁLVULA DE ACIONAMENTO DUCHA</t>
  </si>
  <si>
    <t>SIURB - 101426</t>
  </si>
  <si>
    <t>SINAPI - 86887</t>
  </si>
  <si>
    <t>ENGATE FLEXÍVEL EM INOX, 1/2 X 40CM - FORNECIMENTO E INSTALAÇÃO. AF_01/2020</t>
  </si>
  <si>
    <t>SINAPI - 74236/001</t>
  </si>
  <si>
    <t>PLANTIO DE GRAMA BATATAIS EM PLACAS</t>
  </si>
  <si>
    <t>SINAPI - 98520</t>
  </si>
  <si>
    <t>APLICAÇÃO DE ADUBO EM SOLO. AF_05/2018</t>
  </si>
  <si>
    <t>SBC - 201033</t>
  </si>
  <si>
    <t>FORNECIMENTO TERRA VEGETAL H=25cm PARA PROTECAO DE SOLO</t>
  </si>
  <si>
    <t>BANCADAS DE GRANITO</t>
  </si>
  <si>
    <t>EQUIPAMENTOS E ACESSORIOS</t>
  </si>
  <si>
    <t>BANCADA EM GRANITO BRANCO FORTALEZA, E = 2CM</t>
  </si>
  <si>
    <t>ORSE - 11736</t>
  </si>
  <si>
    <t>SINAPI - 91835</t>
  </si>
  <si>
    <t>ELETRODUTO FLEXÍVEL CORRUGADO REFORÇADO, PVC, DN 25 MM (3/4"), PARA CIRCUITOS TERMINAIS, INSTALADO EM FORRO - FORNECIMENTO E INSTALAÇÃO.</t>
  </si>
  <si>
    <t>SBC - 058084</t>
  </si>
  <si>
    <t>CAIXA PASSAGEM 4x2""</t>
  </si>
  <si>
    <t>CAIXA PASSAGEM PVC 4x4""</t>
  </si>
  <si>
    <t>SBC - 061012</t>
  </si>
  <si>
    <t>SINAPI - 91936</t>
  </si>
  <si>
    <t>CAIXA OCTOGONAL 4" X 4", PVC, INSTALADA EM LAJE - FORNECIMENTO E INSTALAÇÃO.</t>
  </si>
  <si>
    <t xml:space="preserve">INTERRUPTOR PARALELO (2 MÓDULOS), 10A/250V, INCLUINDO SUPORTE E PLACA - FORNECIMENTO E INSTALAÇÃO. </t>
  </si>
  <si>
    <t>SINAPI - 91961</t>
  </si>
  <si>
    <t>SINAPI - 74131/007</t>
  </si>
  <si>
    <t>QUADRO DE DISTRIBUICAO DE ENERGIA DE EMBUTIR, EM CHAPA METALICA, PARA 40 DISJUNTORES TERMOMAGNETICOS MONOPOLARES, COM BARRAMENTO TRIFASICO E NEUTRO, FORNECIMENTO E INSTALACAO</t>
  </si>
  <si>
    <t>SINAPI - 91996</t>
  </si>
  <si>
    <t>TOMADA MÉDIA DE EMBUTIR (1 MÓDULO), 2P+T 10 A, INCLUINDO SUPORTE E PLACA - FORNECIMENTO E INSTALAÇÃO.</t>
  </si>
  <si>
    <t>SINAPI - 91997</t>
  </si>
  <si>
    <t xml:space="preserve">TOMADA MÉDIA DE EMBUTIR (1 MÓDULO), 2P+T 20 A, INCLUINDO SUPORTE E PLACA - FORNECIMENTO E INSTALAÇÃO. </t>
  </si>
  <si>
    <t>SINAPI - 91993</t>
  </si>
  <si>
    <t>TOMADA ALTA DE EMBUTIR (1 MÓDULO), 2P+T 20 A, INCLUINDO SUPORTE E PLACA - FORNECIMENTO E INSTALAÇÃO.</t>
  </si>
  <si>
    <t>SINAPI - 91926</t>
  </si>
  <si>
    <t>CABO DE COBRE FLEXÍVEL ISOLADO, 2,5 MM², ANTI-CHAMA 450/750 V, PARA CIRCUITOS TERMINAIS - FORNECIMENTO E INSTALAÇÃO.</t>
  </si>
  <si>
    <t>SINAPI - 91930</t>
  </si>
  <si>
    <t>SINAPI - 93662</t>
  </si>
  <si>
    <t>DISJUNTOR BIPOLAR TIPO DIN, CORRENTE NOMINAL DE 20A - FORNECIMENTO E INSTALAÇÃO.</t>
  </si>
  <si>
    <t>und</t>
  </si>
  <si>
    <t>SINAPI - 93660</t>
  </si>
  <si>
    <t>DISJUNTOR BIPOLAR TIPO DIN, CORRENTE NOMINAL DE 10A - FORNECIMENTO E INSTALAÇÃO.</t>
  </si>
  <si>
    <t>SINAPI - 93664</t>
  </si>
  <si>
    <t>DISJUNTOR BIPOLAR TIPO DIN, CORRENTE NOMINAL DE 32A - FORNECIMENTO E INSTALAÇÃO.</t>
  </si>
  <si>
    <t>ORSE - 452</t>
  </si>
  <si>
    <t>DISJUNTOR TERMOMAGNETICO TRIPOLAR 63A</t>
  </si>
  <si>
    <t>CAERNE - 2070305</t>
  </si>
  <si>
    <t>DISPOSITIVO DE PROTEÇÃO CONTRA SURTO DE TENSÃO DPS 20KA</t>
  </si>
  <si>
    <t>DISJUNTOR DIFERENCIAL DR-16A - 40A, 30mA</t>
  </si>
  <si>
    <t>SEINFRA - C4530</t>
  </si>
  <si>
    <t>ESTRUTURAS</t>
  </si>
  <si>
    <t>3.1</t>
  </si>
  <si>
    <t>ESCADA E RAMPA</t>
  </si>
  <si>
    <t>3.1.1</t>
  </si>
  <si>
    <t>SINAPI - 95935</t>
  </si>
  <si>
    <t>FABRICAÇÃO DE FÔRMA PARA ESCADAS, COM 2 LANCES, EM CHAPA DE MADEIRA COMPENSADA RESINADA, E= 17 MM.</t>
  </si>
  <si>
    <t>3.1.2</t>
  </si>
  <si>
    <t>SINAPI - 95945</t>
  </si>
  <si>
    <t>ARMAÇÃO DE ESCADA, COM 2 LANCES, DE UMA ESTRUTURA CONVENCIONAL DE CONCRETO ARMADO UTILIZANDO AÇO CA-50 DE 8,0 MM - MONTAGEM.</t>
  </si>
  <si>
    <t>kg</t>
  </si>
  <si>
    <t>3.1.3</t>
  </si>
  <si>
    <t>SINAPI - 94964</t>
  </si>
  <si>
    <t>CONCRETO FCK = 20MPA, TRAÇO 1:2,7:3 (CIMENTO/ AREIA MÉDIA/ BRITA 1) - PREPARO MECÂNICO COM BETONEIRA 400 L.</t>
  </si>
  <si>
    <t>TOTAL SERVIÇOS ESTRUTURAS</t>
  </si>
  <si>
    <t>ALVENARIA DE BLOCOS DE CONCRETO</t>
  </si>
  <si>
    <t>4.1.1.1</t>
  </si>
  <si>
    <t>SINAPI - 87458</t>
  </si>
  <si>
    <t>ALVENARIA DE BLOCOS DE CONCRETO ESTRUTURAL 14X19X29 CM, (ESPESSURA 14 CM) FBK = 14,0 MPA, PARA PAREDES COM ÁREA LÍQUIDA MAIOR OU IGUAL A 6M², COM VÃOS, UTILIZANDO COLHER DE PEDREIRO.</t>
  </si>
  <si>
    <t>4.1.1.2</t>
  </si>
  <si>
    <t>SINAPI - 91602</t>
  </si>
  <si>
    <t>ARMAÇÃO DO SISTEMA DE PAREDES DE CONCRETO, EXECUTADA COMO REFORÇO, VERGALHÃO DE 8,0 MM DE DIÂMETRO.</t>
  </si>
  <si>
    <t>4.1.1.3</t>
  </si>
  <si>
    <t>ORSE - 7967</t>
  </si>
  <si>
    <t>SINAPI - 94100</t>
  </si>
  <si>
    <t>SINAPI - 74154/001</t>
  </si>
  <si>
    <t>7.1.1</t>
  </si>
  <si>
    <t>SINAPI - 9537</t>
  </si>
  <si>
    <t>LIMPEZA FINAL DA OBRA</t>
  </si>
  <si>
    <t>SBC - 170211</t>
  </si>
  <si>
    <t>PORCELANATO 60X60 COR CREMA MARFIL CLARO.</t>
  </si>
  <si>
    <t>SETOP - SER-COR-030</t>
  </si>
  <si>
    <t xml:space="preserve">CORRIMÃO DUPLO EM TUBO DE AÇO INOX D = 1 1/2" - FIXADO EM ALVENARIA </t>
  </si>
  <si>
    <t xml:space="preserve">CABO DE COBRE FLEXÍVEL ISOLADO, 6 MM², ANTI-CHAMA 450/750 V, PARA CIRCUITOS TERMINAIS - FORNECIMENTO E INSTALAÇÃO. </t>
  </si>
  <si>
    <t xml:space="preserve">IMPERMEABILIZAÇÃO </t>
  </si>
  <si>
    <t>IMPERMEABILIZAÇÃO NA COBERTURA DO BANHEIRO</t>
  </si>
  <si>
    <t>SINAPI - 98547</t>
  </si>
  <si>
    <t>IMPERMEABILIZAÇÃO DE SUPERFÍCIE COM MANTA ASFÁLTICA, DUAS CAMADAS, INCLUSIVE APLICAÇÃO DE PRIMER ASFÁLTICO, E=3MM E E=4MM. AF_06/2018</t>
  </si>
  <si>
    <t>SINAPI - 98565</t>
  </si>
  <si>
    <t>PROTEÇÃO MECÂNICA DE SUPERFICIE HORIZONTAL COM ARGAMASSA DE CIMENTO E AREIA, TRAÇO 1:3, E=3CM. AF_06/2018</t>
  </si>
  <si>
    <t>SBC - 016500</t>
  </si>
  <si>
    <t>PLACA DE RESPONSABILIDADE TECNICA EM OBRAS</t>
  </si>
  <si>
    <t>IMPERMEABILIZAÇÃO NOS BANHEIROS</t>
  </si>
  <si>
    <t>FORRO DE DRYWALL</t>
  </si>
  <si>
    <t>SINAPI - 96114</t>
  </si>
  <si>
    <t>FORRO EM DRYWALL, PARA AMBIENTES COMERCIAIS, INCLUSIVE ESTRUTURA DE FIXAÇÃO.</t>
  </si>
  <si>
    <t>DIVISORIA EM GRANITO BRANCO POLIDO, ESP = 3CM, ASSENTADO COM ARGAMASSA TRACO 1:4, ARREMATE EM CIMENTO BRANCO, EXCLUSIVE FERRAGENS (GRANITO POLIDO BRANCO SIENA)</t>
  </si>
  <si>
    <t>SBC - 060081</t>
  </si>
  <si>
    <t>LUMINARIA DE EMBUTIR LED DIAMENTE 30CM 24W 3000K STELLA</t>
  </si>
  <si>
    <t>SBC - 060212</t>
  </si>
  <si>
    <t>LUMINARIA TIPO SPOT DE EMBUTIR</t>
  </si>
  <si>
    <t>2.4.1</t>
  </si>
  <si>
    <t>2.4.2</t>
  </si>
  <si>
    <t>2.4.3</t>
  </si>
  <si>
    <t>PAREDES</t>
  </si>
  <si>
    <t>DIVISORIAS DE GRANITO</t>
  </si>
  <si>
    <t>4.2.1.2</t>
  </si>
  <si>
    <t>ESQUADRIAS</t>
  </si>
  <si>
    <t>ESQUADRIAS DE ALUMINIO</t>
  </si>
  <si>
    <t>ESQUADRIAS DE FERRO</t>
  </si>
  <si>
    <t>REVESTIMENTOS</t>
  </si>
  <si>
    <t>REVESTIMENTOS DE PISO</t>
  </si>
  <si>
    <t>REVESTIMENTO DE PISO DE CONCRETO</t>
  </si>
  <si>
    <t>REVESTIMENTO DE PISO CIMENTADO</t>
  </si>
  <si>
    <t>REVESTIMENTO DE PISO</t>
  </si>
  <si>
    <t>PAREDE COM CHAPISCO</t>
  </si>
  <si>
    <t>PAREDE COM CERAMICA</t>
  </si>
  <si>
    <t>PINTUTRA COM TINTA A BASE PVA</t>
  </si>
  <si>
    <t>4.5.2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</si>
  <si>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</si>
  <si>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</si>
  <si>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</si>
  <si>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</si>
  <si>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</si>
  <si>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</si>
  <si>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</si>
  <si>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</si>
  <si>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</si>
  <si>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</si>
  <si>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</si>
  <si>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</si>
  <si>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</si>
  <si>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</si>
  <si>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</si>
  <si>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</si>
  <si>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</si>
  <si>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</si>
  <si>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</si>
  <si>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</si>
  <si>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</si>
  <si>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</si>
  <si>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</si>
  <si>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</si>
  <si>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</si>
  <si>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</si>
  <si>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</si>
  <si>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</si>
  <si>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</si>
  <si>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5.4.1</t>
  </si>
  <si>
    <t>5.4.2</t>
  </si>
  <si>
    <t>5.4.3</t>
  </si>
  <si>
    <t>5.4.4</t>
  </si>
  <si>
    <t>5.4.7</t>
  </si>
  <si>
    <t>6.1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</si>
  <si>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</si>
  <si>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</si>
  <si>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</si>
  <si>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</si>
  <si>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</si>
  <si>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</si>
  <si>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</si>
  <si>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</si>
  <si>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</si>
  <si>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</si>
  <si>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</si>
  <si>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</si>
  <si>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6.3</t>
  </si>
  <si>
    <t>6.3.1</t>
  </si>
  <si>
    <t>6.3.2</t>
  </si>
  <si>
    <t>6.3.3</t>
  </si>
  <si>
    <t>7.1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</si>
  <si>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</si>
  <si>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>4.3.1.1.1</t>
  </si>
  <si>
    <t>4.3.2</t>
  </si>
  <si>
    <t>4.3.2.1</t>
  </si>
  <si>
    <t>4.3.3</t>
  </si>
  <si>
    <t>4.3.3.1</t>
  </si>
  <si>
    <t>4.3.4</t>
  </si>
  <si>
    <t>4.3.4.1</t>
  </si>
  <si>
    <t>4.3.5</t>
  </si>
  <si>
    <t>4.3.5.1</t>
  </si>
  <si>
    <t>4.3.6</t>
  </si>
  <si>
    <t>4.3.7</t>
  </si>
  <si>
    <t>4.3.6.1</t>
  </si>
  <si>
    <t>4.3.7.1</t>
  </si>
  <si>
    <t>4.3.7.2</t>
  </si>
  <si>
    <t>4.4.1.2</t>
  </si>
  <si>
    <t>4.4.3.2</t>
  </si>
  <si>
    <t>4.5.2.1</t>
  </si>
  <si>
    <t>4.5.2.2</t>
  </si>
  <si>
    <t>4.5.2.3</t>
  </si>
  <si>
    <t>4.5.2.4</t>
  </si>
  <si>
    <t>4.5.2.5</t>
  </si>
  <si>
    <t>4.5.2.6</t>
  </si>
  <si>
    <t>4.5.2.7</t>
  </si>
  <si>
    <t>4.5.2.8</t>
  </si>
  <si>
    <t>4.5.2.9</t>
  </si>
  <si>
    <t>4.5.2.10</t>
  </si>
  <si>
    <t>4.5.2.11</t>
  </si>
  <si>
    <t>4.5.2.12</t>
  </si>
  <si>
    <t>4.5.2.13</t>
  </si>
  <si>
    <t>4.5.2.14</t>
  </si>
  <si>
    <t>4.5.2.15</t>
  </si>
  <si>
    <t>4.5.2.16</t>
  </si>
  <si>
    <t>4.5.2.17</t>
  </si>
  <si>
    <t>4.5.2.18</t>
  </si>
  <si>
    <t>4.5.2.19</t>
  </si>
  <si>
    <t>4.6.1.2</t>
  </si>
  <si>
    <t xml:space="preserve">CREA </t>
  </si>
  <si>
    <t>ANOTAÇÃO DE RESPONSABILIDADE TÉCNICA (A.R.T.)</t>
  </si>
  <si>
    <t>DATA: 28/08/2020</t>
  </si>
  <si>
    <r>
      <t xml:space="preserve">DATA: </t>
    </r>
    <r>
      <rPr>
        <b/>
        <sz val="12"/>
        <color indexed="8"/>
        <rFont val="Arial"/>
        <family val="2"/>
      </rPr>
      <t>28/08/2020</t>
    </r>
  </si>
  <si>
    <t>PRAZO EXECUÇÃO: 60 dias corridos</t>
  </si>
  <si>
    <t>COMPOSIÇÃO ANALÍTICA DE BDI</t>
  </si>
  <si>
    <t xml:space="preserve">Empreendimento: </t>
  </si>
  <si>
    <t>ENAP - PISCINA</t>
  </si>
  <si>
    <t>Tipo de Obra:</t>
  </si>
  <si>
    <t>Construção de Edifícios e Reformas (Quadras, unidades habitacionais, escolas, restaurantes, etc)</t>
  </si>
  <si>
    <t>Base de Cálculo do ISS da Prefeitura:</t>
  </si>
  <si>
    <t>Orçamento Desonerado? (Sim ou Não)</t>
  </si>
  <si>
    <t>NÃO</t>
  </si>
  <si>
    <t>DESCRIÇÃO</t>
  </si>
  <si>
    <t>VALORES DE REFERÊNCIA - %</t>
  </si>
  <si>
    <t>BDI ADOTADO - %</t>
  </si>
  <si>
    <t>(1° Quartil)</t>
  </si>
  <si>
    <t>MÉDIA</t>
  </si>
  <si>
    <t>(3° Quartil)</t>
  </si>
  <si>
    <t>Administração Central</t>
  </si>
  <si>
    <t>Seguros e Garantias (*)</t>
  </si>
  <si>
    <t>Riscos</t>
  </si>
  <si>
    <t>Despesas Financeiras</t>
  </si>
  <si>
    <t>Lucro</t>
  </si>
  <si>
    <t>COFINS</t>
  </si>
  <si>
    <t>PIS</t>
  </si>
  <si>
    <t>ISS (**)</t>
  </si>
  <si>
    <t>LIMITE BDI C/ DESONERAÇÃO</t>
  </si>
  <si>
    <t>LIMITE BDI S/ DESONERAÇÃO</t>
  </si>
  <si>
    <t>Fonte da composição, valores de referência e fórmula do BDI:  Acórdão 2622/2013-TCU-Plenário</t>
  </si>
  <si>
    <t>Desoneração: Lei n°13.161/2015</t>
  </si>
  <si>
    <t>Verificação do  BDI:</t>
  </si>
  <si>
    <t>BDI S/ DESN</t>
  </si>
  <si>
    <t>BDI C/ DESN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</si>
  <si>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</si>
  <si>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</si>
  <si>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</si>
  <si>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</si>
  <si>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R, S, G = taxa de risco, seguro e garantia do empreendimento;</t>
  </si>
  <si>
    <t>I = taxa de tributos (Onerado: I = COFINS+PIS+ISS / Desonerado: I = COFINS+PIS+ISS+CPRB);</t>
  </si>
  <si>
    <t>L = taxa de lucro.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</si>
</sst>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;[Red]0.00"/>
    <numFmt numFmtId="179" formatCode="#,##0.00;[Red]#,##0.00"/>
    <numFmt numFmtId="180" formatCode="#,##0.0"/>
    <numFmt numFmtId="181" formatCode="#,##0.0000"/>
    <numFmt numFmtId="182" formatCode="0.0%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[$-416]dddd\,\ d&quot; de &quot;mmmm&quot; de &quot;yyyy"/>
    <numFmt numFmtId="188" formatCode="0.000%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#,##0.000"/>
    <numFmt numFmtId="203" formatCode="#,##0.00000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6"/>
      <name val="Arial"/>
      <family val="2"/>
    </font>
    <font>
      <b/>
      <sz val="10"/>
      <name val="Century Gothic"/>
      <family val="2"/>
    </font>
    <font>
      <sz val="10.5"/>
      <name val="Arial"/>
      <family val="2"/>
    </font>
    <font>
      <b/>
      <sz val="11"/>
      <color indexed="8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0"/>
      <color indexed="18"/>
      <name val="Times New Roman"/>
      <family val="1"/>
    </font>
    <font>
      <sz val="10"/>
      <color indexed="55"/>
      <name val="Times New Roman"/>
      <family val="1"/>
    </font>
    <font>
      <sz val="10"/>
      <color indexed="22"/>
      <name val="Times New Roman"/>
      <family val="1"/>
    </font>
    <font>
      <sz val="6"/>
      <color indexed="54"/>
      <name val="Times New Roman"/>
      <family val="1"/>
    </font>
    <font>
      <sz val="6"/>
      <color indexed="22"/>
      <name val="Times New Roman"/>
      <family val="1"/>
    </font>
    <font>
      <sz val="6"/>
      <color indexed="55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color indexed="18"/>
      <name val="Times New Roman"/>
      <family val="1"/>
    </font>
    <font>
      <sz val="6"/>
      <color indexed="1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b/>
      <u val="single"/>
      <sz val="14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double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double"/>
      <top style="hair"/>
      <bottom/>
    </border>
    <border>
      <left style="thin"/>
      <right style="double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 style="double"/>
      <right/>
      <top style="hair"/>
      <bottom style="double"/>
    </border>
    <border>
      <left/>
      <right style="thin"/>
      <top style="hair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30" borderId="0" applyNumberFormat="0" applyBorder="0" applyAlignment="0" applyProtection="0"/>
    <xf numFmtId="4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justify"/>
    </xf>
    <xf numFmtId="177" fontId="10" fillId="0" borderId="0" xfId="69" applyNumberFormat="1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 vertical="justify"/>
    </xf>
    <xf numFmtId="177" fontId="14" fillId="0" borderId="0" xfId="69" applyNumberFormat="1" applyFont="1" applyBorder="1" applyAlignment="1">
      <alignment/>
    </xf>
    <xf numFmtId="0" fontId="13" fillId="0" borderId="0" xfId="0" applyFont="1" applyBorder="1" applyAlignment="1">
      <alignment vertical="justify"/>
    </xf>
    <xf numFmtId="177" fontId="13" fillId="0" borderId="0" xfId="69" applyNumberFormat="1" applyFont="1" applyBorder="1" applyAlignment="1">
      <alignment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justify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1" fillId="0" borderId="0" xfId="0" applyFont="1" applyBorder="1" applyAlignment="1">
      <alignment vertical="justify"/>
    </xf>
    <xf numFmtId="177" fontId="0" fillId="0" borderId="0" xfId="69" applyNumberFormat="1" applyFont="1" applyBorder="1" applyAlignment="1">
      <alignment/>
    </xf>
    <xf numFmtId="0" fontId="0" fillId="0" borderId="0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177" fontId="2" fillId="0" borderId="0" xfId="69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177" fontId="11" fillId="0" borderId="0" xfId="69" applyNumberFormat="1" applyFont="1" applyBorder="1" applyAlignment="1">
      <alignment/>
    </xf>
    <xf numFmtId="177" fontId="12" fillId="0" borderId="0" xfId="69" applyNumberFormat="1" applyFont="1" applyBorder="1" applyAlignment="1">
      <alignment/>
    </xf>
    <xf numFmtId="0" fontId="3" fillId="0" borderId="0" xfId="0" applyFont="1" applyBorder="1" applyAlignment="1">
      <alignment vertical="justify"/>
    </xf>
    <xf numFmtId="177" fontId="3" fillId="0" borderId="0" xfId="69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justify"/>
    </xf>
    <xf numFmtId="0" fontId="1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justify"/>
    </xf>
    <xf numFmtId="0" fontId="0" fillId="0" borderId="0" xfId="0" applyFont="1" applyFill="1" applyBorder="1" applyAlignment="1">
      <alignment vertical="justify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/>
    </xf>
    <xf numFmtId="0" fontId="18" fillId="0" borderId="0" xfId="0" applyFont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top"/>
    </xf>
    <xf numFmtId="177" fontId="18" fillId="0" borderId="0" xfId="69" applyNumberFormat="1" applyFont="1" applyBorder="1" applyAlignment="1">
      <alignment/>
    </xf>
    <xf numFmtId="0" fontId="5" fillId="0" borderId="0" xfId="0" applyFont="1" applyBorder="1" applyAlignment="1">
      <alignment/>
    </xf>
    <xf numFmtId="177" fontId="3" fillId="0" borderId="0" xfId="69" applyNumberFormat="1" applyFont="1" applyBorder="1" applyAlignment="1">
      <alignment vertical="center"/>
    </xf>
    <xf numFmtId="4" fontId="0" fillId="0" borderId="0" xfId="50" applyBorder="1">
      <alignment/>
      <protection/>
    </xf>
    <xf numFmtId="4" fontId="0" fillId="0" borderId="0" xfId="50" applyFont="1" applyBorder="1">
      <alignment/>
      <protection/>
    </xf>
    <xf numFmtId="4" fontId="0" fillId="0" borderId="0" xfId="50" applyFont="1" applyFill="1" applyBorder="1">
      <alignment/>
      <protection/>
    </xf>
    <xf numFmtId="4" fontId="20" fillId="0" borderId="10" xfId="50" applyFont="1" applyFill="1" applyBorder="1" applyAlignment="1">
      <alignment horizontal="center" vertical="center"/>
      <protection/>
    </xf>
    <xf numFmtId="4" fontId="20" fillId="0" borderId="11" xfId="50" applyFont="1" applyFill="1" applyBorder="1" applyAlignment="1">
      <alignment horizontal="justify" vertical="center"/>
      <protection/>
    </xf>
    <xf numFmtId="4" fontId="20" fillId="0" borderId="11" xfId="50" applyNumberFormat="1" applyFont="1" applyFill="1" applyBorder="1" applyAlignment="1">
      <alignment horizontal="center" vertical="center"/>
      <protection/>
    </xf>
    <xf numFmtId="177" fontId="18" fillId="0" borderId="11" xfId="69" applyFont="1" applyFill="1" applyBorder="1" applyAlignment="1">
      <alignment horizontal="right" vertical="center"/>
    </xf>
    <xf numFmtId="4" fontId="20" fillId="0" borderId="12" xfId="50" applyFont="1" applyFill="1" applyBorder="1" applyAlignment="1">
      <alignment horizontal="center" vertical="center"/>
      <protection/>
    </xf>
    <xf numFmtId="4" fontId="20" fillId="0" borderId="13" xfId="50" applyFont="1" applyFill="1" applyBorder="1" applyAlignment="1">
      <alignment horizontal="justify" vertical="center"/>
      <protection/>
    </xf>
    <xf numFmtId="177" fontId="18" fillId="0" borderId="13" xfId="69" applyFont="1" applyFill="1" applyBorder="1" applyAlignment="1">
      <alignment horizontal="right" vertical="center"/>
    </xf>
    <xf numFmtId="4" fontId="20" fillId="0" borderId="13" xfId="50" applyNumberFormat="1" applyFont="1" applyFill="1" applyBorder="1" applyAlignment="1">
      <alignment horizontal="center" vertical="center"/>
      <protection/>
    </xf>
    <xf numFmtId="177" fontId="18" fillId="33" borderId="13" xfId="69" applyFont="1" applyFill="1" applyBorder="1" applyAlignment="1">
      <alignment horizontal="right" vertical="center"/>
    </xf>
    <xf numFmtId="177" fontId="20" fillId="0" borderId="14" xfId="69" applyFont="1" applyFill="1" applyBorder="1" applyAlignment="1">
      <alignment horizontal="right" vertical="center"/>
    </xf>
    <xf numFmtId="4" fontId="18" fillId="0" borderId="15" xfId="50" applyFont="1" applyFill="1" applyBorder="1" applyAlignment="1">
      <alignment vertical="center"/>
      <protection/>
    </xf>
    <xf numFmtId="4" fontId="20" fillId="0" borderId="15" xfId="50" applyNumberFormat="1" applyFont="1" applyFill="1" applyBorder="1" applyAlignment="1">
      <alignment horizontal="center" vertical="center"/>
      <protection/>
    </xf>
    <xf numFmtId="177" fontId="2" fillId="0" borderId="14" xfId="69" applyFont="1" applyFill="1" applyBorder="1" applyAlignment="1">
      <alignment horizontal="right" vertical="center"/>
    </xf>
    <xf numFmtId="4" fontId="18" fillId="0" borderId="16" xfId="50" applyFont="1" applyFill="1" applyBorder="1" applyAlignment="1">
      <alignment vertical="center"/>
      <protection/>
    </xf>
    <xf numFmtId="4" fontId="20" fillId="0" borderId="16" xfId="50" applyNumberFormat="1" applyFont="1" applyFill="1" applyBorder="1" applyAlignment="1">
      <alignment horizontal="center" vertical="center"/>
      <protection/>
    </xf>
    <xf numFmtId="177" fontId="18" fillId="0" borderId="16" xfId="69" applyFont="1" applyFill="1" applyBorder="1" applyAlignment="1">
      <alignment horizontal="right" vertical="center"/>
    </xf>
    <xf numFmtId="177" fontId="18" fillId="0" borderId="17" xfId="69" applyFont="1" applyFill="1" applyBorder="1" applyAlignment="1">
      <alignment horizontal="right" vertical="center"/>
    </xf>
    <xf numFmtId="177" fontId="20" fillId="0" borderId="17" xfId="69" applyFont="1" applyFill="1" applyBorder="1" applyAlignment="1">
      <alignment horizontal="right" vertical="center"/>
    </xf>
    <xf numFmtId="4" fontId="20" fillId="0" borderId="18" xfId="50" applyFont="1" applyFill="1" applyBorder="1" applyAlignment="1">
      <alignment vertical="center"/>
      <protection/>
    </xf>
    <xf numFmtId="4" fontId="20" fillId="0" borderId="18" xfId="50" applyNumberFormat="1" applyFont="1" applyFill="1" applyBorder="1" applyAlignment="1">
      <alignment horizontal="center" vertical="center"/>
      <protection/>
    </xf>
    <xf numFmtId="177" fontId="18" fillId="0" borderId="19" xfId="69" applyFont="1" applyFill="1" applyBorder="1" applyAlignment="1">
      <alignment horizontal="right" vertical="center"/>
    </xf>
    <xf numFmtId="177" fontId="18" fillId="34" borderId="20" xfId="69" applyFont="1" applyFill="1" applyBorder="1" applyAlignment="1">
      <alignment horizontal="right" vertical="center"/>
    </xf>
    <xf numFmtId="177" fontId="2" fillId="0" borderId="0" xfId="69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Alignment="1">
      <alignment/>
    </xf>
    <xf numFmtId="4" fontId="21" fillId="34" borderId="0" xfId="0" applyNumberFormat="1" applyFont="1" applyFill="1" applyBorder="1" applyAlignment="1">
      <alignment horizontal="center" vertical="center"/>
    </xf>
    <xf numFmtId="4" fontId="22" fillId="34" borderId="21" xfId="0" applyNumberFormat="1" applyFont="1" applyFill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>
      <alignment horizontal="left" vertical="center"/>
    </xf>
    <xf numFmtId="177" fontId="18" fillId="0" borderId="26" xfId="0" applyNumberFormat="1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7" fontId="18" fillId="0" borderId="32" xfId="0" applyNumberFormat="1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center" vertical="center"/>
    </xf>
    <xf numFmtId="177" fontId="18" fillId="0" borderId="3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" fillId="0" borderId="27" xfId="0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34" borderId="27" xfId="0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4" fontId="2" fillId="0" borderId="38" xfId="0" applyNumberFormat="1" applyFont="1" applyBorder="1" applyAlignment="1">
      <alignment vertical="center"/>
    </xf>
    <xf numFmtId="4" fontId="20" fillId="0" borderId="39" xfId="50" applyFont="1" applyFill="1" applyBorder="1" applyAlignment="1">
      <alignment horizontal="center" vertical="center"/>
      <protection/>
    </xf>
    <xf numFmtId="4" fontId="20" fillId="0" borderId="15" xfId="50" applyFont="1" applyFill="1" applyBorder="1" applyAlignment="1">
      <alignment horizontal="justify" vertical="center"/>
      <protection/>
    </xf>
    <xf numFmtId="4" fontId="20" fillId="0" borderId="15" xfId="50" applyNumberFormat="1" applyFont="1" applyFill="1" applyBorder="1" applyAlignment="1">
      <alignment horizontal="right" vertical="center"/>
      <protection/>
    </xf>
    <xf numFmtId="4" fontId="2" fillId="0" borderId="40" xfId="0" applyNumberFormat="1" applyFont="1" applyBorder="1" applyAlignment="1">
      <alignment horizontal="justify" vertical="center" wrapText="1"/>
    </xf>
    <xf numFmtId="177" fontId="0" fillId="0" borderId="27" xfId="59" applyNumberFormat="1" applyFont="1" applyBorder="1" applyAlignment="1">
      <alignment horizontal="center" vertical="center"/>
    </xf>
    <xf numFmtId="0" fontId="84" fillId="0" borderId="0" xfId="0" applyFont="1" applyBorder="1" applyAlignment="1">
      <alignment/>
    </xf>
    <xf numFmtId="10" fontId="85" fillId="34" borderId="27" xfId="0" applyNumberFormat="1" applyFont="1" applyFill="1" applyBorder="1" applyAlignment="1">
      <alignment horizontal="left" vertical="center" wrapText="1"/>
    </xf>
    <xf numFmtId="0" fontId="19" fillId="0" borderId="0" xfId="51" applyFont="1" applyAlignment="1">
      <alignment wrapText="1"/>
      <protection/>
    </xf>
    <xf numFmtId="4" fontId="3" fillId="33" borderId="4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79" fontId="0" fillId="0" borderId="27" xfId="0" applyNumberFormat="1" applyFont="1" applyFill="1" applyBorder="1" applyAlignment="1">
      <alignment horizontal="right" wrapText="1"/>
    </xf>
    <xf numFmtId="0" fontId="2" fillId="34" borderId="2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justify" wrapText="1"/>
    </xf>
    <xf numFmtId="0" fontId="0" fillId="0" borderId="27" xfId="0" applyFont="1" applyBorder="1" applyAlignment="1">
      <alignment horizontal="center" vertical="center"/>
    </xf>
    <xf numFmtId="177" fontId="0" fillId="35" borderId="27" xfId="59" applyNumberFormat="1" applyFont="1" applyFill="1" applyBorder="1" applyAlignment="1">
      <alignment horizontal="center" vertical="center"/>
    </xf>
    <xf numFmtId="177" fontId="0" fillId="0" borderId="27" xfId="59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2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26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177" fontId="0" fillId="0" borderId="27" xfId="59" applyNumberFormat="1" applyFont="1" applyBorder="1" applyAlignment="1">
      <alignment vertical="center" wrapText="1"/>
    </xf>
    <xf numFmtId="4" fontId="0" fillId="36" borderId="27" xfId="0" applyNumberFormat="1" applyFont="1" applyFill="1" applyBorder="1" applyAlignment="1">
      <alignment horizontal="right" vertical="center" wrapText="1"/>
    </xf>
    <xf numFmtId="177" fontId="2" fillId="0" borderId="27" xfId="59" applyNumberFormat="1" applyFont="1" applyFill="1" applyBorder="1" applyAlignment="1">
      <alignment vertical="center" wrapText="1"/>
    </xf>
    <xf numFmtId="180" fontId="0" fillId="0" borderId="27" xfId="0" applyNumberFormat="1" applyFont="1" applyFill="1" applyBorder="1" applyAlignment="1">
      <alignment horizontal="center" vertical="center" wrapText="1"/>
    </xf>
    <xf numFmtId="179" fontId="0" fillId="0" borderId="27" xfId="0" applyNumberFormat="1" applyFont="1" applyFill="1" applyBorder="1" applyAlignment="1">
      <alignment horizontal="right" vertical="center" wrapText="1"/>
    </xf>
    <xf numFmtId="177" fontId="0" fillId="0" borderId="27" xfId="59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177" fontId="0" fillId="34" borderId="27" xfId="59" applyNumberFormat="1" applyFont="1" applyFill="1" applyBorder="1" applyAlignment="1">
      <alignment vertical="center" wrapText="1"/>
    </xf>
    <xf numFmtId="177" fontId="2" fillId="0" borderId="27" xfId="59" applyNumberFormat="1" applyFont="1" applyBorder="1" applyAlignment="1">
      <alignment vertical="center" wrapText="1"/>
    </xf>
    <xf numFmtId="0" fontId="0" fillId="35" borderId="27" xfId="0" applyFont="1" applyFill="1" applyBorder="1" applyAlignment="1">
      <alignment horizontal="center" vertical="center" wrapText="1"/>
    </xf>
    <xf numFmtId="177" fontId="0" fillId="35" borderId="27" xfId="59" applyNumberFormat="1" applyFont="1" applyFill="1" applyBorder="1" applyAlignment="1">
      <alignment vertical="center" wrapText="1"/>
    </xf>
    <xf numFmtId="0" fontId="0" fillId="35" borderId="0" xfId="0" applyFont="1" applyFill="1" applyAlignment="1">
      <alignment vertical="center" wrapText="1"/>
    </xf>
    <xf numFmtId="177" fontId="0" fillId="0" borderId="27" xfId="59" applyNumberFormat="1" applyFont="1" applyBorder="1" applyAlignment="1">
      <alignment horizontal="right" vertical="center" wrapText="1"/>
    </xf>
    <xf numFmtId="177" fontId="0" fillId="34" borderId="27" xfId="59" applyNumberFormat="1" applyFont="1" applyFill="1" applyBorder="1" applyAlignment="1">
      <alignment horizontal="right" vertical="center" wrapText="1"/>
    </xf>
    <xf numFmtId="177" fontId="2" fillId="0" borderId="27" xfId="59" applyNumberFormat="1" applyFont="1" applyFill="1" applyBorder="1" applyAlignment="1">
      <alignment horizontal="center" vertical="center" wrapText="1"/>
    </xf>
    <xf numFmtId="177" fontId="2" fillId="0" borderId="27" xfId="59" applyNumberFormat="1" applyFont="1" applyFill="1" applyBorder="1" applyAlignment="1">
      <alignment horizontal="right" vertical="center" wrapText="1"/>
    </xf>
    <xf numFmtId="177" fontId="2" fillId="35" borderId="27" xfId="59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6" fillId="0" borderId="0" xfId="0" applyFont="1" applyAlignment="1">
      <alignment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4" fontId="0" fillId="35" borderId="27" xfId="0" applyNumberFormat="1" applyFont="1" applyFill="1" applyBorder="1" applyAlignment="1">
      <alignment horizontal="right" vertical="center" wrapText="1"/>
    </xf>
    <xf numFmtId="0" fontId="2" fillId="35" borderId="27" xfId="0" applyFont="1" applyFill="1" applyBorder="1" applyAlignment="1">
      <alignment horizontal="justify" vertical="center" wrapText="1"/>
    </xf>
    <xf numFmtId="0" fontId="2" fillId="0" borderId="27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justify" vertical="center" wrapText="1"/>
      <protection/>
    </xf>
    <xf numFmtId="0" fontId="7" fillId="0" borderId="27" xfId="52" applyFont="1" applyBorder="1" applyAlignment="1">
      <alignment horizontal="center" vertical="center"/>
      <protection/>
    </xf>
    <xf numFmtId="177" fontId="6" fillId="0" borderId="27" xfId="69" applyNumberFormat="1" applyFont="1" applyBorder="1" applyAlignment="1">
      <alignment horizontal="right" vertical="center"/>
    </xf>
    <xf numFmtId="177" fontId="7" fillId="0" borderId="27" xfId="69" applyNumberFormat="1" applyFont="1" applyBorder="1" applyAlignment="1">
      <alignment horizontal="right" vertical="center"/>
    </xf>
    <xf numFmtId="0" fontId="6" fillId="0" borderId="0" xfId="51" applyFont="1">
      <alignment/>
      <protection/>
    </xf>
    <xf numFmtId="0" fontId="0" fillId="0" borderId="27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 wrapText="1"/>
      <protection/>
    </xf>
    <xf numFmtId="177" fontId="6" fillId="0" borderId="27" xfId="69" applyNumberFormat="1" applyFont="1" applyFill="1" applyBorder="1" applyAlignment="1">
      <alignment horizontal="right" vertical="center"/>
    </xf>
    <xf numFmtId="177" fontId="2" fillId="0" borderId="27" xfId="69" applyNumberFormat="1" applyFont="1" applyBorder="1" applyAlignment="1">
      <alignment horizontal="right" vertical="center"/>
    </xf>
    <xf numFmtId="177" fontId="0" fillId="0" borderId="27" xfId="69" applyNumberFormat="1" applyFont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justify" vertical="center" wrapText="1"/>
    </xf>
    <xf numFmtId="4" fontId="0" fillId="0" borderId="0" xfId="0" applyNumberFormat="1" applyFont="1" applyAlignment="1">
      <alignment vertical="center" wrapText="1"/>
    </xf>
    <xf numFmtId="4" fontId="0" fillId="0" borderId="27" xfId="0" applyNumberFormat="1" applyFont="1" applyBorder="1" applyAlignment="1">
      <alignment vertical="center" wrapText="1"/>
    </xf>
    <xf numFmtId="177" fontId="0" fillId="0" borderId="27" xfId="69" applyNumberFormat="1" applyFont="1" applyFill="1" applyBorder="1" applyAlignment="1">
      <alignment horizontal="right" vertical="center"/>
    </xf>
    <xf numFmtId="0" fontId="0" fillId="0" borderId="0" xfId="51" applyFont="1" applyAlignment="1">
      <alignment vertical="center"/>
      <protection/>
    </xf>
    <xf numFmtId="0" fontId="0" fillId="37" borderId="27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4" fontId="0" fillId="37" borderId="27" xfId="0" applyNumberFormat="1" applyFont="1" applyFill="1" applyBorder="1" applyAlignment="1">
      <alignment horizontal="right" vertical="center" wrapText="1"/>
    </xf>
    <xf numFmtId="177" fontId="2" fillId="37" borderId="27" xfId="59" applyNumberFormat="1" applyFont="1" applyFill="1" applyBorder="1" applyAlignment="1">
      <alignment vertical="center" wrapText="1"/>
    </xf>
    <xf numFmtId="10" fontId="18" fillId="0" borderId="4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4" fillId="34" borderId="0" xfId="0" applyNumberFormat="1" applyFont="1" applyFill="1" applyBorder="1" applyAlignment="1">
      <alignment horizontal="left" vertical="center"/>
    </xf>
    <xf numFmtId="4" fontId="9" fillId="34" borderId="0" xfId="0" applyNumberFormat="1" applyFont="1" applyFill="1" applyBorder="1" applyAlignment="1">
      <alignment vertical="center"/>
    </xf>
    <xf numFmtId="3" fontId="2" fillId="0" borderId="40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8" fillId="34" borderId="0" xfId="0" applyNumberFormat="1" applyFont="1" applyFill="1" applyBorder="1" applyAlignment="1">
      <alignment horizontal="center"/>
    </xf>
    <xf numFmtId="4" fontId="22" fillId="34" borderId="0" xfId="0" applyNumberFormat="1" applyFont="1" applyFill="1" applyBorder="1" applyAlignment="1">
      <alignment vertical="center"/>
    </xf>
    <xf numFmtId="4" fontId="2" fillId="0" borderId="43" xfId="0" applyNumberFormat="1" applyFont="1" applyBorder="1" applyAlignment="1">
      <alignment horizontal="center" vertical="center" wrapText="1"/>
    </xf>
    <xf numFmtId="10" fontId="18" fillId="0" borderId="15" xfId="69" applyNumberFormat="1" applyFont="1" applyFill="1" applyBorder="1" applyAlignment="1">
      <alignment horizontal="right" vertical="center"/>
    </xf>
    <xf numFmtId="10" fontId="18" fillId="0" borderId="11" xfId="69" applyNumberFormat="1" applyFont="1" applyFill="1" applyBorder="1" applyAlignment="1">
      <alignment horizontal="right" vertical="center"/>
    </xf>
    <xf numFmtId="10" fontId="20" fillId="0" borderId="44" xfId="69" applyNumberFormat="1" applyFont="1" applyFill="1" applyBorder="1" applyAlignment="1">
      <alignment horizontal="right" vertical="center"/>
    </xf>
    <xf numFmtId="10" fontId="20" fillId="0" borderId="45" xfId="69" applyNumberFormat="1" applyFont="1" applyFill="1" applyBorder="1" applyAlignment="1">
      <alignment horizontal="right" vertical="center"/>
    </xf>
    <xf numFmtId="177" fontId="18" fillId="35" borderId="13" xfId="69" applyFont="1" applyFill="1" applyBorder="1" applyAlignment="1">
      <alignment horizontal="right" vertical="center"/>
    </xf>
    <xf numFmtId="10" fontId="18" fillId="0" borderId="13" xfId="69" applyNumberFormat="1" applyFont="1" applyFill="1" applyBorder="1" applyAlignment="1">
      <alignment horizontal="right" vertical="center"/>
    </xf>
    <xf numFmtId="10" fontId="18" fillId="0" borderId="16" xfId="69" applyNumberFormat="1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0" fontId="0" fillId="0" borderId="27" xfId="0" applyFont="1" applyBorder="1" applyAlignment="1">
      <alignment horizontal="justify" vertical="center" wrapText="1"/>
    </xf>
    <xf numFmtId="4" fontId="0" fillId="38" borderId="27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0" borderId="37" xfId="0" applyFont="1" applyBorder="1" applyAlignment="1">
      <alignment horizontal="center" vertical="center"/>
    </xf>
    <xf numFmtId="0" fontId="0" fillId="34" borderId="27" xfId="0" applyFont="1" applyFill="1" applyBorder="1" applyAlignment="1">
      <alignment horizontal="justify" vertical="center" wrapText="1"/>
    </xf>
    <xf numFmtId="0" fontId="0" fillId="35" borderId="27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wrapText="1"/>
    </xf>
    <xf numFmtId="0" fontId="0" fillId="0" borderId="27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justify" vertical="top" wrapText="1"/>
    </xf>
    <xf numFmtId="0" fontId="0" fillId="0" borderId="27" xfId="52" applyFont="1" applyBorder="1" applyAlignment="1">
      <alignment horizontal="justify" vertical="center" wrapText="1"/>
      <protection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35" borderId="27" xfId="0" applyNumberFormat="1" applyFont="1" applyFill="1" applyBorder="1" applyAlignment="1">
      <alignment horizontal="justify" vertical="center" wrapText="1"/>
    </xf>
    <xf numFmtId="4" fontId="0" fillId="0" borderId="27" xfId="0" applyNumberFormat="1" applyFont="1" applyFill="1" applyBorder="1" applyAlignment="1">
      <alignment horizontal="justify" vertical="center" wrapText="1"/>
    </xf>
    <xf numFmtId="177" fontId="0" fillId="0" borderId="27" xfId="69" applyNumberFormat="1" applyFont="1" applyFill="1" applyBorder="1" applyAlignment="1">
      <alignment horizontal="right" vertical="center" wrapText="1"/>
    </xf>
    <xf numFmtId="177" fontId="0" fillId="0" borderId="27" xfId="69" applyNumberFormat="1" applyFont="1" applyBorder="1" applyAlignment="1">
      <alignment horizontal="right" vertical="center" wrapText="1"/>
    </xf>
    <xf numFmtId="177" fontId="6" fillId="0" borderId="27" xfId="69" applyNumberFormat="1" applyFont="1" applyBorder="1" applyAlignment="1">
      <alignment horizontal="right" vertical="center" wrapText="1"/>
    </xf>
    <xf numFmtId="0" fontId="6" fillId="0" borderId="0" xfId="51" applyFont="1" applyAlignment="1">
      <alignment vertical="center" wrapText="1"/>
      <protection/>
    </xf>
    <xf numFmtId="0" fontId="6" fillId="0" borderId="0" xfId="51" applyFont="1" applyAlignment="1">
      <alignment wrapText="1"/>
      <protection/>
    </xf>
    <xf numFmtId="177" fontId="2" fillId="0" borderId="27" xfId="69" applyNumberFormat="1" applyFont="1" applyBorder="1" applyAlignment="1">
      <alignment horizontal="right" vertical="center" wrapText="1"/>
    </xf>
    <xf numFmtId="0" fontId="18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50" applyFont="1" applyBorder="1">
      <alignment/>
      <protection/>
    </xf>
    <xf numFmtId="4" fontId="0" fillId="0" borderId="0" xfId="50" applyFont="1" applyFill="1" applyBorder="1">
      <alignment/>
      <protection/>
    </xf>
    <xf numFmtId="0" fontId="3" fillId="33" borderId="41" xfId="0" applyFont="1" applyFill="1" applyBorder="1" applyAlignment="1">
      <alignment horizontal="center" vertical="center" wrapText="1"/>
    </xf>
    <xf numFmtId="177" fontId="0" fillId="0" borderId="27" xfId="69" applyFont="1" applyFill="1" applyBorder="1" applyAlignment="1">
      <alignment horizontal="right" vertical="center" wrapText="1"/>
    </xf>
    <xf numFmtId="177" fontId="0" fillId="0" borderId="27" xfId="69" applyFont="1" applyBorder="1" applyAlignment="1">
      <alignment vertical="center" wrapText="1"/>
    </xf>
    <xf numFmtId="177" fontId="2" fillId="0" borderId="27" xfId="69" applyFont="1" applyBorder="1" applyAlignment="1">
      <alignment vertical="center" wrapText="1"/>
    </xf>
    <xf numFmtId="177" fontId="2" fillId="37" borderId="27" xfId="69" applyFont="1" applyFill="1" applyBorder="1" applyAlignment="1">
      <alignment vertical="center" wrapText="1"/>
    </xf>
    <xf numFmtId="177" fontId="0" fillId="35" borderId="27" xfId="69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center" vertical="center" wrapText="1"/>
    </xf>
    <xf numFmtId="0" fontId="19" fillId="35" borderId="0" xfId="51" applyFont="1" applyFill="1" applyBorder="1" applyAlignment="1">
      <alignment wrapText="1"/>
      <protection/>
    </xf>
    <xf numFmtId="0" fontId="2" fillId="39" borderId="27" xfId="0" applyFont="1" applyFill="1" applyBorder="1" applyAlignment="1">
      <alignment horizontal="center" vertical="center" wrapText="1"/>
    </xf>
    <xf numFmtId="4" fontId="0" fillId="39" borderId="27" xfId="0" applyNumberFormat="1" applyFont="1" applyFill="1" applyBorder="1" applyAlignment="1">
      <alignment horizontal="right" vertical="center" wrapText="1"/>
    </xf>
    <xf numFmtId="177" fontId="2" fillId="39" borderId="27" xfId="59" applyNumberFormat="1" applyFont="1" applyFill="1" applyBorder="1" applyAlignment="1">
      <alignment vertical="center" wrapText="1"/>
    </xf>
    <xf numFmtId="0" fontId="0" fillId="39" borderId="0" xfId="0" applyFont="1" applyFill="1" applyAlignment="1">
      <alignment vertical="center" wrapText="1"/>
    </xf>
    <xf numFmtId="0" fontId="0" fillId="39" borderId="27" xfId="0" applyFont="1" applyFill="1" applyBorder="1" applyAlignment="1">
      <alignment horizontal="center" vertical="center" wrapText="1"/>
    </xf>
    <xf numFmtId="177" fontId="2" fillId="39" borderId="27" xfId="69" applyFont="1" applyFill="1" applyBorder="1" applyAlignment="1">
      <alignment vertical="center" wrapText="1"/>
    </xf>
    <xf numFmtId="0" fontId="0" fillId="39" borderId="27" xfId="0" applyFont="1" applyFill="1" applyBorder="1" applyAlignment="1">
      <alignment horizontal="center" vertical="center"/>
    </xf>
    <xf numFmtId="177" fontId="2" fillId="39" borderId="27" xfId="59" applyNumberFormat="1" applyFont="1" applyFill="1" applyBorder="1" applyAlignment="1">
      <alignment vertical="center"/>
    </xf>
    <xf numFmtId="0" fontId="0" fillId="39" borderId="0" xfId="0" applyFont="1" applyFill="1" applyAlignment="1">
      <alignment/>
    </xf>
    <xf numFmtId="0" fontId="0" fillId="39" borderId="27" xfId="52" applyFont="1" applyFill="1" applyBorder="1" applyAlignment="1">
      <alignment horizontal="center" vertical="center"/>
      <protection/>
    </xf>
    <xf numFmtId="0" fontId="2" fillId="39" borderId="27" xfId="52" applyFont="1" applyFill="1" applyBorder="1" applyAlignment="1">
      <alignment horizontal="center" vertical="center" wrapText="1"/>
      <protection/>
    </xf>
    <xf numFmtId="177" fontId="2" fillId="39" borderId="27" xfId="69" applyNumberFormat="1" applyFont="1" applyFill="1" applyBorder="1" applyAlignment="1">
      <alignment horizontal="right" vertical="center"/>
    </xf>
    <xf numFmtId="0" fontId="6" fillId="39" borderId="0" xfId="51" applyFont="1" applyFill="1">
      <alignment/>
      <protection/>
    </xf>
    <xf numFmtId="177" fontId="0" fillId="39" borderId="27" xfId="69" applyNumberFormat="1" applyFont="1" applyFill="1" applyBorder="1" applyAlignment="1">
      <alignment horizontal="right" vertical="center"/>
    </xf>
    <xf numFmtId="4" fontId="0" fillId="39" borderId="0" xfId="0" applyNumberFormat="1" applyFont="1" applyFill="1" applyAlignment="1">
      <alignment vertical="center" wrapText="1"/>
    </xf>
    <xf numFmtId="177" fontId="0" fillId="39" borderId="41" xfId="59" applyNumberFormat="1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 vertical="center" wrapText="1"/>
    </xf>
    <xf numFmtId="4" fontId="19" fillId="0" borderId="0" xfId="51" applyNumberFormat="1" applyFont="1" applyAlignment="1">
      <alignment wrapText="1"/>
      <protection/>
    </xf>
    <xf numFmtId="4" fontId="11" fillId="0" borderId="0" xfId="0" applyNumberFormat="1" applyFont="1" applyAlignment="1">
      <alignment vertical="center" wrapText="1"/>
    </xf>
    <xf numFmtId="177" fontId="26" fillId="0" borderId="0" xfId="51" applyNumberFormat="1" applyFont="1" applyAlignment="1">
      <alignment wrapText="1"/>
      <protection/>
    </xf>
    <xf numFmtId="0" fontId="2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176" fontId="2" fillId="0" borderId="27" xfId="46" applyFont="1" applyFill="1" applyBorder="1" applyAlignment="1">
      <alignment horizontal="center" vertical="center" wrapText="1"/>
    </xf>
    <xf numFmtId="2" fontId="0" fillId="0" borderId="27" xfId="69" applyNumberFormat="1" applyFont="1" applyBorder="1" applyAlignment="1">
      <alignment horizontal="center" vertical="center" wrapText="1"/>
    </xf>
    <xf numFmtId="2" fontId="85" fillId="34" borderId="27" xfId="69" applyNumberFormat="1" applyFont="1" applyFill="1" applyBorder="1" applyAlignment="1">
      <alignment horizontal="center" vertical="center" wrapText="1"/>
    </xf>
    <xf numFmtId="2" fontId="3" fillId="33" borderId="41" xfId="69" applyNumberFormat="1" applyFont="1" applyFill="1" applyBorder="1" applyAlignment="1">
      <alignment horizontal="center" vertical="center" wrapText="1"/>
    </xf>
    <xf numFmtId="2" fontId="10" fillId="0" borderId="27" xfId="69" applyNumberFormat="1" applyFont="1" applyBorder="1" applyAlignment="1">
      <alignment horizontal="center" vertical="center" wrapText="1"/>
    </xf>
    <xf numFmtId="2" fontId="0" fillId="37" borderId="27" xfId="69" applyNumberFormat="1" applyFont="1" applyFill="1" applyBorder="1" applyAlignment="1">
      <alignment horizontal="center" vertical="center" wrapText="1"/>
    </xf>
    <xf numFmtId="2" fontId="0" fillId="39" borderId="27" xfId="69" applyNumberFormat="1" applyFont="1" applyFill="1" applyBorder="1" applyAlignment="1">
      <alignment horizontal="center" vertical="center" wrapText="1"/>
    </xf>
    <xf numFmtId="2" fontId="0" fillId="0" borderId="27" xfId="69" applyNumberFormat="1" applyFont="1" applyFill="1" applyBorder="1" applyAlignment="1">
      <alignment horizontal="center" vertical="center" wrapText="1"/>
    </xf>
    <xf numFmtId="2" fontId="0" fillId="35" borderId="27" xfId="69" applyNumberFormat="1" applyFont="1" applyFill="1" applyBorder="1" applyAlignment="1">
      <alignment horizontal="center" vertical="center" wrapText="1"/>
    </xf>
    <xf numFmtId="2" fontId="0" fillId="0" borderId="27" xfId="69" applyNumberFormat="1" applyFont="1" applyBorder="1" applyAlignment="1">
      <alignment horizontal="center" vertical="center"/>
    </xf>
    <xf numFmtId="2" fontId="2" fillId="39" borderId="27" xfId="69" applyNumberFormat="1" applyFont="1" applyFill="1" applyBorder="1" applyAlignment="1">
      <alignment horizontal="center" vertical="center" wrapText="1"/>
    </xf>
    <xf numFmtId="2" fontId="0" fillId="39" borderId="27" xfId="69" applyNumberFormat="1" applyFont="1" applyFill="1" applyBorder="1" applyAlignment="1">
      <alignment horizontal="center" vertical="center"/>
    </xf>
    <xf numFmtId="2" fontId="0" fillId="0" borderId="27" xfId="69" applyNumberFormat="1" applyFont="1" applyFill="1" applyBorder="1" applyAlignment="1">
      <alignment horizontal="center" vertical="center"/>
    </xf>
    <xf numFmtId="2" fontId="7" fillId="0" borderId="27" xfId="69" applyNumberFormat="1" applyFont="1" applyBorder="1" applyAlignment="1">
      <alignment horizontal="center" vertical="center"/>
    </xf>
    <xf numFmtId="2" fontId="2" fillId="0" borderId="27" xfId="46" applyNumberFormat="1" applyFont="1" applyFill="1" applyBorder="1" applyAlignment="1">
      <alignment horizontal="center" vertical="center" wrapText="1"/>
    </xf>
    <xf numFmtId="2" fontId="2" fillId="0" borderId="27" xfId="69" applyNumberFormat="1" applyFont="1" applyFill="1" applyBorder="1" applyAlignment="1">
      <alignment horizontal="center" vertical="center" wrapText="1"/>
    </xf>
    <xf numFmtId="2" fontId="11" fillId="0" borderId="0" xfId="69" applyNumberFormat="1" applyFont="1" applyAlignment="1">
      <alignment horizontal="center" vertical="center" wrapText="1"/>
    </xf>
    <xf numFmtId="2" fontId="86" fillId="0" borderId="0" xfId="69" applyNumberFormat="1" applyFont="1" applyAlignment="1">
      <alignment horizontal="center" vertical="center" wrapText="1"/>
    </xf>
    <xf numFmtId="2" fontId="11" fillId="0" borderId="0" xfId="69" applyNumberFormat="1" applyFont="1" applyAlignment="1">
      <alignment horizontal="center" vertical="center" wrapText="1"/>
    </xf>
    <xf numFmtId="2" fontId="11" fillId="0" borderId="0" xfId="69" applyNumberFormat="1" applyFont="1" applyAlignment="1">
      <alignment horizontal="center" vertical="center"/>
    </xf>
    <xf numFmtId="2" fontId="0" fillId="0" borderId="0" xfId="69" applyNumberFormat="1" applyAlignment="1">
      <alignment horizontal="center" vertical="center"/>
    </xf>
    <xf numFmtId="176" fontId="3" fillId="35" borderId="0" xfId="46" applyFont="1" applyFill="1" applyBorder="1" applyAlignment="1">
      <alignment horizontal="center" vertical="center" wrapText="1"/>
    </xf>
    <xf numFmtId="176" fontId="3" fillId="33" borderId="41" xfId="46" applyFont="1" applyFill="1" applyBorder="1" applyAlignment="1">
      <alignment horizontal="center" vertical="center" wrapText="1"/>
    </xf>
    <xf numFmtId="176" fontId="3" fillId="37" borderId="41" xfId="46" applyFont="1" applyFill="1" applyBorder="1" applyAlignment="1">
      <alignment horizontal="center" vertical="center" wrapText="1"/>
    </xf>
    <xf numFmtId="176" fontId="10" fillId="0" borderId="27" xfId="46" applyFont="1" applyBorder="1" applyAlignment="1">
      <alignment horizontal="center" vertical="center" wrapText="1"/>
    </xf>
    <xf numFmtId="176" fontId="10" fillId="35" borderId="27" xfId="46" applyFont="1" applyFill="1" applyBorder="1" applyAlignment="1">
      <alignment horizontal="center" vertical="center" wrapText="1"/>
    </xf>
    <xf numFmtId="176" fontId="10" fillId="0" borderId="26" xfId="46" applyFont="1" applyBorder="1" applyAlignment="1">
      <alignment horizontal="center" vertical="center" wrapText="1"/>
    </xf>
    <xf numFmtId="176" fontId="0" fillId="0" borderId="27" xfId="46" applyFont="1" applyBorder="1" applyAlignment="1">
      <alignment horizontal="center" vertical="center" wrapText="1"/>
    </xf>
    <xf numFmtId="176" fontId="0" fillId="37" borderId="27" xfId="46" applyFont="1" applyFill="1" applyBorder="1" applyAlignment="1">
      <alignment horizontal="center" vertical="center" wrapText="1"/>
    </xf>
    <xf numFmtId="176" fontId="0" fillId="35" borderId="46" xfId="46" applyFont="1" applyFill="1" applyBorder="1" applyAlignment="1">
      <alignment horizontal="center" vertical="center" wrapText="1"/>
    </xf>
    <xf numFmtId="176" fontId="0" fillId="33" borderId="27" xfId="46" applyFont="1" applyFill="1" applyBorder="1" applyAlignment="1">
      <alignment horizontal="center" vertical="center" wrapText="1"/>
    </xf>
    <xf numFmtId="176" fontId="0" fillId="39" borderId="27" xfId="46" applyFont="1" applyFill="1" applyBorder="1" applyAlignment="1">
      <alignment horizontal="center" vertical="center" wrapText="1"/>
    </xf>
    <xf numFmtId="176" fontId="0" fillId="37" borderId="46" xfId="46" applyFont="1" applyFill="1" applyBorder="1" applyAlignment="1">
      <alignment horizontal="center" vertical="center" wrapText="1"/>
    </xf>
    <xf numFmtId="176" fontId="2" fillId="37" borderId="27" xfId="46" applyFont="1" applyFill="1" applyBorder="1" applyAlignment="1">
      <alignment horizontal="center" vertical="center" wrapText="1"/>
    </xf>
    <xf numFmtId="176" fontId="0" fillId="36" borderId="27" xfId="46" applyFont="1" applyFill="1" applyBorder="1" applyAlignment="1">
      <alignment horizontal="center" vertical="center" wrapText="1"/>
    </xf>
    <xf numFmtId="176" fontId="10" fillId="35" borderId="46" xfId="46" applyFont="1" applyFill="1" applyBorder="1" applyAlignment="1">
      <alignment horizontal="center" vertical="center" wrapText="1"/>
    </xf>
    <xf numFmtId="176" fontId="0" fillId="39" borderId="46" xfId="46" applyFont="1" applyFill="1" applyBorder="1" applyAlignment="1">
      <alignment horizontal="center" vertical="center" wrapText="1"/>
    </xf>
    <xf numFmtId="176" fontId="0" fillId="35" borderId="27" xfId="46" applyFont="1" applyFill="1" applyBorder="1" applyAlignment="1">
      <alignment horizontal="center" vertical="center" wrapText="1"/>
    </xf>
    <xf numFmtId="176" fontId="0" fillId="0" borderId="27" xfId="46" applyFont="1" applyBorder="1" applyAlignment="1">
      <alignment horizontal="center" vertical="center"/>
    </xf>
    <xf numFmtId="176" fontId="0" fillId="35" borderId="27" xfId="46" applyFont="1" applyFill="1" applyBorder="1" applyAlignment="1">
      <alignment horizontal="center" vertical="center"/>
    </xf>
    <xf numFmtId="176" fontId="2" fillId="39" borderId="46" xfId="46" applyFont="1" applyFill="1" applyBorder="1" applyAlignment="1">
      <alignment horizontal="center" vertical="center" wrapText="1"/>
    </xf>
    <xf numFmtId="176" fontId="2" fillId="39" borderId="27" xfId="46" applyFont="1" applyFill="1" applyBorder="1" applyAlignment="1">
      <alignment horizontal="center" vertical="center" wrapText="1"/>
    </xf>
    <xf numFmtId="176" fontId="0" fillId="39" borderId="27" xfId="46" applyFont="1" applyFill="1" applyBorder="1" applyAlignment="1">
      <alignment horizontal="center" vertical="center"/>
    </xf>
    <xf numFmtId="176" fontId="0" fillId="0" borderId="27" xfId="46" applyFont="1" applyFill="1" applyBorder="1" applyAlignment="1">
      <alignment horizontal="center" vertical="center" wrapText="1"/>
    </xf>
    <xf numFmtId="176" fontId="6" fillId="0" borderId="27" xfId="46" applyFont="1" applyBorder="1" applyAlignment="1">
      <alignment horizontal="center" vertical="center"/>
    </xf>
    <xf numFmtId="176" fontId="6" fillId="39" borderId="27" xfId="46" applyFont="1" applyFill="1" applyBorder="1" applyAlignment="1">
      <alignment horizontal="center" vertical="center"/>
    </xf>
    <xf numFmtId="176" fontId="6" fillId="0" borderId="27" xfId="46" applyFont="1" applyFill="1" applyBorder="1" applyAlignment="1">
      <alignment horizontal="center" vertical="center"/>
    </xf>
    <xf numFmtId="176" fontId="2" fillId="39" borderId="27" xfId="46" applyFont="1" applyFill="1" applyBorder="1" applyAlignment="1">
      <alignment horizontal="center" vertical="center"/>
    </xf>
    <xf numFmtId="176" fontId="2" fillId="0" borderId="27" xfId="46" applyFont="1" applyBorder="1" applyAlignment="1">
      <alignment horizontal="center" vertical="center"/>
    </xf>
    <xf numFmtId="176" fontId="0" fillId="0" borderId="27" xfId="46" applyFont="1" applyFill="1" applyBorder="1" applyAlignment="1">
      <alignment horizontal="center" vertical="center"/>
    </xf>
    <xf numFmtId="176" fontId="2" fillId="35" borderId="27" xfId="46" applyFont="1" applyFill="1" applyBorder="1" applyAlignment="1">
      <alignment horizontal="center" vertical="center" wrapText="1"/>
    </xf>
    <xf numFmtId="176" fontId="0" fillId="39" borderId="41" xfId="46" applyFont="1" applyFill="1" applyBorder="1" applyAlignment="1">
      <alignment horizontal="center" vertical="center" wrapText="1"/>
    </xf>
    <xf numFmtId="176" fontId="21" fillId="0" borderId="27" xfId="46" applyFont="1" applyFill="1" applyBorder="1" applyAlignment="1">
      <alignment horizontal="center" vertical="center" wrapText="1"/>
    </xf>
    <xf numFmtId="176" fontId="11" fillId="0" borderId="0" xfId="46" applyFont="1" applyAlignment="1">
      <alignment horizontal="center" vertical="center" wrapText="1"/>
    </xf>
    <xf numFmtId="176" fontId="11" fillId="35" borderId="0" xfId="46" applyFont="1" applyFill="1" applyAlignment="1">
      <alignment horizontal="center" vertical="center" wrapText="1"/>
    </xf>
    <xf numFmtId="176" fontId="86" fillId="0" borderId="0" xfId="46" applyFont="1" applyAlignment="1">
      <alignment horizontal="center" vertical="center" wrapText="1"/>
    </xf>
    <xf numFmtId="176" fontId="86" fillId="35" borderId="0" xfId="46" applyFont="1" applyFill="1" applyAlignment="1">
      <alignment horizontal="center" vertical="center" wrapText="1"/>
    </xf>
    <xf numFmtId="176" fontId="11" fillId="0" borderId="0" xfId="46" applyFont="1" applyAlignment="1">
      <alignment horizontal="center" vertical="center"/>
    </xf>
    <xf numFmtId="176" fontId="11" fillId="35" borderId="0" xfId="46" applyFont="1" applyFill="1" applyAlignment="1">
      <alignment horizontal="center" vertical="center"/>
    </xf>
    <xf numFmtId="176" fontId="0" fillId="0" borderId="0" xfId="46" applyFont="1" applyAlignment="1">
      <alignment horizontal="center" vertical="center"/>
    </xf>
    <xf numFmtId="176" fontId="0" fillId="35" borderId="0" xfId="46" applyFont="1" applyFill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27" fillId="35" borderId="0" xfId="0" applyFont="1" applyFill="1" applyAlignment="1">
      <alignment vertical="center"/>
    </xf>
    <xf numFmtId="4" fontId="0" fillId="0" borderId="27" xfId="0" applyNumberFormat="1" applyFont="1" applyFill="1" applyBorder="1" applyAlignment="1">
      <alignment horizontal="left" vertical="center" wrapText="1"/>
    </xf>
    <xf numFmtId="4" fontId="0" fillId="39" borderId="27" xfId="52" applyNumberFormat="1" applyFont="1" applyFill="1" applyBorder="1" applyAlignment="1">
      <alignment horizontal="center" vertical="center"/>
      <protection/>
    </xf>
    <xf numFmtId="9" fontId="2" fillId="0" borderId="27" xfId="59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52" applyFont="1" applyBorder="1" applyAlignment="1">
      <alignment horizontal="center" vertical="center" wrapText="1"/>
      <protection/>
    </xf>
    <xf numFmtId="177" fontId="2" fillId="0" borderId="25" xfId="59" applyNumberFormat="1" applyFont="1" applyFill="1" applyBorder="1" applyAlignment="1">
      <alignment horizontal="right" vertical="center" wrapText="1"/>
    </xf>
    <xf numFmtId="177" fontId="2" fillId="0" borderId="47" xfId="59" applyNumberFormat="1" applyFont="1" applyFill="1" applyBorder="1" applyAlignment="1">
      <alignment horizontal="right" vertical="center" wrapText="1"/>
    </xf>
    <xf numFmtId="177" fontId="2" fillId="0" borderId="46" xfId="59" applyNumberFormat="1" applyFont="1" applyFill="1" applyBorder="1" applyAlignment="1">
      <alignment horizontal="right" vertical="center" wrapText="1"/>
    </xf>
    <xf numFmtId="176" fontId="2" fillId="0" borderId="27" xfId="46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76" fontId="11" fillId="0" borderId="0" xfId="46" applyFont="1" applyAlignment="1">
      <alignment horizontal="center" vertical="center" wrapText="1"/>
    </xf>
    <xf numFmtId="176" fontId="11" fillId="35" borderId="0" xfId="46" applyFont="1" applyFill="1" applyAlignment="1">
      <alignment horizontal="center" vertical="center" wrapText="1"/>
    </xf>
    <xf numFmtId="10" fontId="28" fillId="0" borderId="0" xfId="54" applyNumberFormat="1" applyFont="1" applyAlignment="1">
      <alignment horizontal="center" vertical="center" wrapText="1"/>
    </xf>
    <xf numFmtId="176" fontId="87" fillId="40" borderId="27" xfId="46" applyFont="1" applyFill="1" applyBorder="1" applyAlignment="1">
      <alignment horizontal="center" vertical="center" wrapText="1"/>
    </xf>
    <xf numFmtId="177" fontId="0" fillId="0" borderId="27" xfId="69" applyFont="1" applyBorder="1" applyAlignment="1">
      <alignment horizontal="center" vertical="center" wrapText="1"/>
    </xf>
    <xf numFmtId="177" fontId="0" fillId="35" borderId="46" xfId="59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177" fontId="0" fillId="0" borderId="27" xfId="69" applyFont="1" applyBorder="1" applyAlignment="1">
      <alignment horizontal="right" vertical="center" wrapText="1"/>
    </xf>
    <xf numFmtId="177" fontId="0" fillId="35" borderId="46" xfId="59" applyNumberFormat="1" applyFont="1" applyFill="1" applyBorder="1" applyAlignment="1">
      <alignment horizontal="center" vertical="center" wrapText="1"/>
    </xf>
    <xf numFmtId="177" fontId="2" fillId="35" borderId="27" xfId="69" applyFont="1" applyFill="1" applyBorder="1" applyAlignment="1">
      <alignment vertical="center" wrapText="1"/>
    </xf>
    <xf numFmtId="4" fontId="0" fillId="36" borderId="27" xfId="0" applyNumberFormat="1" applyFont="1" applyFill="1" applyBorder="1" applyAlignment="1">
      <alignment horizontal="right" vertical="center" wrapText="1"/>
    </xf>
    <xf numFmtId="4" fontId="0" fillId="39" borderId="27" xfId="0" applyNumberFormat="1" applyFont="1" applyFill="1" applyBorder="1" applyAlignment="1">
      <alignment horizontal="right" vertical="center" wrapText="1"/>
    </xf>
    <xf numFmtId="0" fontId="0" fillId="39" borderId="0" xfId="0" applyFont="1" applyFill="1" applyAlignment="1">
      <alignment vertical="center" wrapText="1"/>
    </xf>
    <xf numFmtId="2" fontId="0" fillId="35" borderId="27" xfId="69" applyNumberFormat="1" applyFont="1" applyFill="1" applyBorder="1" applyAlignment="1">
      <alignment horizontal="center" vertical="center" wrapText="1"/>
    </xf>
    <xf numFmtId="176" fontId="0" fillId="0" borderId="27" xfId="48" applyFont="1" applyBorder="1" applyAlignment="1">
      <alignment horizontal="center" vertical="center" wrapText="1"/>
    </xf>
    <xf numFmtId="4" fontId="0" fillId="36" borderId="27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 wrapText="1"/>
    </xf>
    <xf numFmtId="0" fontId="2" fillId="39" borderId="27" xfId="0" applyFont="1" applyFill="1" applyBorder="1" applyAlignment="1">
      <alignment horizontal="center" vertical="center" wrapText="1"/>
    </xf>
    <xf numFmtId="177" fontId="2" fillId="39" borderId="27" xfId="59" applyNumberFormat="1" applyFont="1" applyFill="1" applyBorder="1" applyAlignment="1">
      <alignment vertical="center" wrapText="1"/>
    </xf>
    <xf numFmtId="0" fontId="0" fillId="39" borderId="0" xfId="0" applyFont="1" applyFill="1" applyAlignment="1">
      <alignment vertical="center" wrapText="1"/>
    </xf>
    <xf numFmtId="0" fontId="0" fillId="39" borderId="27" xfId="0" applyFont="1" applyFill="1" applyBorder="1" applyAlignment="1">
      <alignment horizontal="center" vertical="center" wrapText="1"/>
    </xf>
    <xf numFmtId="4" fontId="0" fillId="36" borderId="27" xfId="0" applyNumberFormat="1" applyFont="1" applyFill="1" applyBorder="1" applyAlignment="1">
      <alignment horizontal="right" vertical="center" wrapText="1"/>
    </xf>
    <xf numFmtId="4" fontId="0" fillId="36" borderId="27" xfId="0" applyNumberFormat="1" applyFont="1" applyFill="1" applyBorder="1" applyAlignment="1">
      <alignment horizontal="right" vertical="center" wrapText="1"/>
    </xf>
    <xf numFmtId="0" fontId="0" fillId="35" borderId="27" xfId="0" applyFont="1" applyFill="1" applyBorder="1" applyAlignment="1">
      <alignment horizontal="center" vertical="center" wrapText="1"/>
    </xf>
    <xf numFmtId="177" fontId="0" fillId="35" borderId="27" xfId="59" applyNumberFormat="1" applyFont="1" applyFill="1" applyBorder="1" applyAlignment="1">
      <alignment vertical="center" wrapText="1"/>
    </xf>
    <xf numFmtId="0" fontId="0" fillId="35" borderId="0" xfId="0" applyFont="1" applyFill="1" applyAlignment="1">
      <alignment vertical="center" wrapText="1"/>
    </xf>
    <xf numFmtId="177" fontId="2" fillId="35" borderId="27" xfId="59" applyNumberFormat="1" applyFont="1" applyFill="1" applyBorder="1" applyAlignment="1">
      <alignment vertical="center" wrapText="1"/>
    </xf>
    <xf numFmtId="0" fontId="2" fillId="35" borderId="27" xfId="0" applyFont="1" applyFill="1" applyBorder="1" applyAlignment="1">
      <alignment horizontal="center" vertical="center" wrapText="1"/>
    </xf>
    <xf numFmtId="4" fontId="0" fillId="35" borderId="27" xfId="0" applyNumberFormat="1" applyFont="1" applyFill="1" applyBorder="1" applyAlignment="1">
      <alignment horizontal="right" vertical="center" wrapText="1"/>
    </xf>
    <xf numFmtId="0" fontId="2" fillId="35" borderId="27" xfId="0" applyFont="1" applyFill="1" applyBorder="1" applyAlignment="1">
      <alignment horizontal="justify" vertical="center" wrapText="1"/>
    </xf>
    <xf numFmtId="0" fontId="0" fillId="37" borderId="27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4" fontId="0" fillId="37" borderId="27" xfId="0" applyNumberFormat="1" applyFont="1" applyFill="1" applyBorder="1" applyAlignment="1">
      <alignment horizontal="right" vertical="center" wrapText="1"/>
    </xf>
    <xf numFmtId="177" fontId="2" fillId="37" borderId="27" xfId="59" applyNumberFormat="1" applyFont="1" applyFill="1" applyBorder="1" applyAlignment="1">
      <alignment vertical="center" wrapText="1"/>
    </xf>
    <xf numFmtId="0" fontId="0" fillId="35" borderId="27" xfId="0" applyFont="1" applyFill="1" applyBorder="1" applyAlignment="1">
      <alignment horizontal="justify" vertical="center" wrapText="1"/>
    </xf>
    <xf numFmtId="0" fontId="2" fillId="39" borderId="27" xfId="0" applyFont="1" applyFill="1" applyBorder="1" applyAlignment="1">
      <alignment horizontal="center" vertical="center" wrapText="1"/>
    </xf>
    <xf numFmtId="4" fontId="0" fillId="39" borderId="27" xfId="0" applyNumberFormat="1" applyFont="1" applyFill="1" applyBorder="1" applyAlignment="1">
      <alignment horizontal="right" vertical="center" wrapText="1"/>
    </xf>
    <xf numFmtId="177" fontId="2" fillId="39" borderId="27" xfId="59" applyNumberFormat="1" applyFont="1" applyFill="1" applyBorder="1" applyAlignment="1">
      <alignment vertical="center" wrapText="1"/>
    </xf>
    <xf numFmtId="0" fontId="0" fillId="39" borderId="0" xfId="0" applyFont="1" applyFill="1" applyAlignment="1">
      <alignment vertical="center" wrapText="1"/>
    </xf>
    <xf numFmtId="0" fontId="0" fillId="39" borderId="27" xfId="0" applyFont="1" applyFill="1" applyBorder="1" applyAlignment="1">
      <alignment horizontal="center" vertical="center" wrapText="1"/>
    </xf>
    <xf numFmtId="177" fontId="2" fillId="39" borderId="27" xfId="69" applyFont="1" applyFill="1" applyBorder="1" applyAlignment="1">
      <alignment vertical="center" wrapText="1"/>
    </xf>
    <xf numFmtId="0" fontId="0" fillId="39" borderId="27" xfId="52" applyFont="1" applyFill="1" applyBorder="1" applyAlignment="1">
      <alignment horizontal="center" vertical="center"/>
      <protection/>
    </xf>
    <xf numFmtId="2" fontId="0" fillId="37" borderId="27" xfId="69" applyNumberFormat="1" applyFont="1" applyFill="1" applyBorder="1" applyAlignment="1">
      <alignment horizontal="center" vertical="center" wrapText="1"/>
    </xf>
    <xf numFmtId="2" fontId="0" fillId="39" borderId="27" xfId="69" applyNumberFormat="1" applyFont="1" applyFill="1" applyBorder="1" applyAlignment="1">
      <alignment horizontal="center" vertical="center" wrapText="1"/>
    </xf>
    <xf numFmtId="2" fontId="0" fillId="35" borderId="27" xfId="69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177" fontId="86" fillId="0" borderId="0" xfId="0" applyNumberFormat="1" applyFont="1" applyAlignment="1">
      <alignment vertical="center" wrapText="1"/>
    </xf>
    <xf numFmtId="43" fontId="86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43" fontId="84" fillId="0" borderId="0" xfId="0" applyNumberFormat="1" applyFont="1" applyAlignment="1">
      <alignment vertical="center" wrapText="1"/>
    </xf>
    <xf numFmtId="43" fontId="2" fillId="0" borderId="27" xfId="60" applyNumberFormat="1" applyFont="1" applyBorder="1" applyAlignment="1">
      <alignment vertical="center" wrapText="1"/>
    </xf>
    <xf numFmtId="4" fontId="0" fillId="38" borderId="27" xfId="0" applyNumberFormat="1" applyFont="1" applyFill="1" applyBorder="1" applyAlignment="1">
      <alignment horizontal="right" vertical="center" wrapText="1"/>
    </xf>
    <xf numFmtId="2" fontId="0" fillId="0" borderId="27" xfId="70" applyNumberFormat="1" applyFont="1" applyBorder="1" applyAlignment="1">
      <alignment horizontal="center" vertical="center" wrapText="1"/>
    </xf>
    <xf numFmtId="176" fontId="0" fillId="35" borderId="46" xfId="48" applyFont="1" applyFill="1" applyBorder="1" applyAlignment="1">
      <alignment horizontal="center" vertical="center" wrapText="1"/>
    </xf>
    <xf numFmtId="43" fontId="2" fillId="0" borderId="0" xfId="60" applyNumberFormat="1" applyFont="1" applyBorder="1" applyAlignment="1">
      <alignment vertical="center" wrapText="1"/>
    </xf>
    <xf numFmtId="201" fontId="0" fillId="0" borderId="0" xfId="0" applyNumberFormat="1" applyAlignment="1">
      <alignment/>
    </xf>
    <xf numFmtId="203" fontId="0" fillId="0" borderId="0" xfId="50" applyNumberFormat="1" applyFont="1" applyFill="1" applyBorder="1">
      <alignment/>
      <protection/>
    </xf>
    <xf numFmtId="0" fontId="15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9" fillId="0" borderId="47" xfId="0" applyFont="1" applyFill="1" applyBorder="1" applyAlignment="1" applyProtection="1">
      <alignment vertical="center" wrapText="1"/>
      <protection/>
    </xf>
    <xf numFmtId="0" fontId="32" fillId="0" borderId="0" xfId="0" applyFont="1" applyAlignment="1" applyProtection="1">
      <alignment vertical="center"/>
      <protection hidden="1"/>
    </xf>
    <xf numFmtId="0" fontId="32" fillId="0" borderId="0" xfId="0" applyFont="1" applyAlignment="1">
      <alignment vertical="center"/>
    </xf>
    <xf numFmtId="0" fontId="32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center"/>
      <protection hidden="1"/>
    </xf>
    <xf numFmtId="0" fontId="29" fillId="0" borderId="37" xfId="0" applyFont="1" applyBorder="1" applyAlignment="1">
      <alignment vertical="center" wrapText="1"/>
    </xf>
    <xf numFmtId="2" fontId="29" fillId="0" borderId="41" xfId="0" applyNumberFormat="1" applyFont="1" applyBorder="1" applyAlignment="1" applyProtection="1">
      <alignment horizontal="center" vertical="center" wrapText="1"/>
      <protection hidden="1"/>
    </xf>
    <xf numFmtId="2" fontId="29" fillId="41" borderId="48" xfId="0" applyNumberFormat="1" applyFont="1" applyFill="1" applyBorder="1" applyAlignment="1" applyProtection="1" quotePrefix="1">
      <alignment horizontal="center" vertical="center" wrapText="1"/>
      <protection locked="0"/>
    </xf>
    <xf numFmtId="2" fontId="29" fillId="41" borderId="0" xfId="0" applyNumberFormat="1" applyFont="1" applyFill="1" applyBorder="1" applyAlignment="1" applyProtection="1" quotePrefix="1">
      <alignment vertical="center" wrapText="1"/>
      <protection hidden="1"/>
    </xf>
    <xf numFmtId="0" fontId="29" fillId="0" borderId="37" xfId="0" applyFont="1" applyBorder="1" applyAlignment="1">
      <alignment horizontal="left" vertical="center" wrapText="1"/>
    </xf>
    <xf numFmtId="2" fontId="29" fillId="41" borderId="49" xfId="0" applyNumberFormat="1" applyFont="1" applyFill="1" applyBorder="1" applyAlignment="1" applyProtection="1">
      <alignment horizontal="center" vertical="center" wrapText="1"/>
      <protection locked="0"/>
    </xf>
    <xf numFmtId="2" fontId="29" fillId="41" borderId="0" xfId="0" applyNumberFormat="1" applyFont="1" applyFill="1" applyBorder="1" applyAlignment="1" applyProtection="1">
      <alignment vertical="center" wrapText="1"/>
      <protection hidden="1"/>
    </xf>
    <xf numFmtId="0" fontId="33" fillId="42" borderId="0" xfId="0" applyFont="1" applyFill="1" applyBorder="1" applyAlignment="1" applyProtection="1">
      <alignment vertical="center"/>
      <protection hidden="1"/>
    </xf>
    <xf numFmtId="0" fontId="33" fillId="42" borderId="0" xfId="0" applyFont="1" applyFill="1" applyAlignment="1" applyProtection="1">
      <alignment vertical="center" wrapText="1"/>
      <protection hidden="1"/>
    </xf>
    <xf numFmtId="2" fontId="29" fillId="0" borderId="50" xfId="0" applyNumberFormat="1" applyFont="1" applyBorder="1" applyAlignment="1" applyProtection="1">
      <alignment horizontal="center" vertical="center" wrapText="1"/>
      <protection hidden="1"/>
    </xf>
    <xf numFmtId="2" fontId="29" fillId="0" borderId="51" xfId="0" applyNumberFormat="1" applyFont="1" applyFill="1" applyBorder="1" applyAlignment="1" applyProtection="1">
      <alignment horizontal="center" vertical="center" wrapText="1"/>
      <protection/>
    </xf>
    <xf numFmtId="0" fontId="13" fillId="0" borderId="52" xfId="0" applyFont="1" applyBorder="1" applyAlignment="1">
      <alignment vertical="center" wrapText="1"/>
    </xf>
    <xf numFmtId="2" fontId="13" fillId="0" borderId="53" xfId="0" applyNumberFormat="1" applyFont="1" applyBorder="1" applyAlignment="1" applyProtection="1">
      <alignment horizontal="center" vertical="center" wrapText="1"/>
      <protection hidden="1"/>
    </xf>
    <xf numFmtId="2" fontId="13" fillId="0" borderId="54" xfId="0" applyNumberFormat="1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2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2" fontId="29" fillId="0" borderId="40" xfId="0" applyNumberFormat="1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2" fillId="0" borderId="0" xfId="0" applyFont="1" applyAlignment="1">
      <alignment horizontal="right" vertical="center"/>
    </xf>
    <xf numFmtId="2" fontId="32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horizontal="justify" vertical="center"/>
    </xf>
    <xf numFmtId="0" fontId="40" fillId="0" borderId="0" xfId="0" applyFont="1" applyAlignment="1">
      <alignment horizontal="left" vertical="center"/>
    </xf>
    <xf numFmtId="0" fontId="40" fillId="35" borderId="0" xfId="0" applyFont="1" applyFill="1" applyAlignment="1" applyProtection="1">
      <alignment horizontal="left"/>
      <protection locked="0"/>
    </xf>
    <xf numFmtId="0" fontId="40" fillId="0" borderId="55" xfId="0" applyFont="1" applyBorder="1" applyAlignment="1">
      <alignment horizontal="left" vertical="center"/>
    </xf>
    <xf numFmtId="0" fontId="33" fillId="42" borderId="0" xfId="0" applyFont="1" applyFill="1" applyAlignment="1">
      <alignment vertical="center"/>
    </xf>
    <xf numFmtId="0" fontId="33" fillId="42" borderId="0" xfId="0" applyFont="1" applyFill="1" applyAlignment="1">
      <alignment vertical="center" wrapText="1"/>
    </xf>
    <xf numFmtId="0" fontId="33" fillId="42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2" fillId="4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2" fontId="29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2" fontId="13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justify" vertical="center"/>
    </xf>
    <xf numFmtId="4" fontId="2" fillId="0" borderId="27" xfId="0" applyNumberFormat="1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4" fontId="85" fillId="34" borderId="25" xfId="0" applyNumberFormat="1" applyFont="1" applyFill="1" applyBorder="1" applyAlignment="1">
      <alignment horizontal="left" vertical="center" wrapText="1"/>
    </xf>
    <xf numFmtId="4" fontId="85" fillId="34" borderId="47" xfId="0" applyNumberFormat="1" applyFont="1" applyFill="1" applyBorder="1" applyAlignment="1">
      <alignment horizontal="left" vertical="center" wrapText="1"/>
    </xf>
    <xf numFmtId="4" fontId="85" fillId="34" borderId="46" xfId="0" applyNumberFormat="1" applyFont="1" applyFill="1" applyBorder="1" applyAlignment="1">
      <alignment horizontal="left" vertical="center" wrapText="1"/>
    </xf>
    <xf numFmtId="176" fontId="85" fillId="34" borderId="25" xfId="46" applyFont="1" applyFill="1" applyBorder="1" applyAlignment="1">
      <alignment horizontal="center" vertical="center" wrapText="1"/>
    </xf>
    <xf numFmtId="176" fontId="85" fillId="34" borderId="47" xfId="46" applyFont="1" applyFill="1" applyBorder="1" applyAlignment="1">
      <alignment horizontal="center" vertical="center" wrapText="1"/>
    </xf>
    <xf numFmtId="176" fontId="85" fillId="34" borderId="46" xfId="46" applyFont="1" applyFill="1" applyBorder="1" applyAlignment="1">
      <alignment horizontal="center" vertical="center" wrapText="1"/>
    </xf>
    <xf numFmtId="4" fontId="24" fillId="34" borderId="27" xfId="0" applyNumberFormat="1" applyFont="1" applyFill="1" applyBorder="1" applyAlignment="1">
      <alignment horizontal="center" vertical="center" wrapText="1"/>
    </xf>
    <xf numFmtId="4" fontId="23" fillId="34" borderId="27" xfId="0" applyNumberFormat="1" applyFont="1" applyFill="1" applyBorder="1" applyAlignment="1">
      <alignment horizontal="center" vertical="center" wrapText="1"/>
    </xf>
    <xf numFmtId="176" fontId="24" fillId="34" borderId="27" xfId="46" applyFont="1" applyFill="1" applyBorder="1" applyAlignment="1">
      <alignment horizontal="center" vertical="center" wrapText="1"/>
    </xf>
    <xf numFmtId="176" fontId="23" fillId="34" borderId="27" xfId="46" applyFont="1" applyFill="1" applyBorder="1" applyAlignment="1">
      <alignment horizontal="center" vertical="center" wrapText="1"/>
    </xf>
    <xf numFmtId="4" fontId="0" fillId="0" borderId="56" xfId="0" applyNumberFormat="1" applyFont="1" applyBorder="1" applyAlignment="1">
      <alignment horizontal="justify" vertical="center" wrapText="1"/>
    </xf>
    <xf numFmtId="4" fontId="0" fillId="0" borderId="55" xfId="0" applyNumberFormat="1" applyFont="1" applyBorder="1" applyAlignment="1">
      <alignment horizontal="justify" vertical="center" wrapText="1"/>
    </xf>
    <xf numFmtId="4" fontId="0" fillId="0" borderId="57" xfId="0" applyNumberFormat="1" applyFont="1" applyBorder="1" applyAlignment="1">
      <alignment horizontal="justify" vertical="center" wrapText="1"/>
    </xf>
    <xf numFmtId="4" fontId="0" fillId="0" borderId="58" xfId="0" applyNumberFormat="1" applyBorder="1" applyAlignment="1">
      <alignment horizontal="justify" vertical="center" wrapText="1"/>
    </xf>
    <xf numFmtId="4" fontId="0" fillId="0" borderId="0" xfId="0" applyNumberFormat="1" applyFont="1" applyBorder="1" applyAlignment="1">
      <alignment horizontal="justify" vertical="center" wrapText="1"/>
    </xf>
    <xf numFmtId="4" fontId="0" fillId="0" borderId="59" xfId="0" applyNumberFormat="1" applyFont="1" applyBorder="1" applyAlignment="1">
      <alignment horizontal="justify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" fontId="18" fillId="0" borderId="61" xfId="50" applyFont="1" applyFill="1" applyBorder="1" applyAlignment="1">
      <alignment horizontal="center" vertical="center"/>
      <protection/>
    </xf>
    <xf numFmtId="4" fontId="18" fillId="0" borderId="62" xfId="50" applyFont="1" applyFill="1" applyBorder="1" applyAlignment="1">
      <alignment horizontal="center" vertical="center"/>
      <protection/>
    </xf>
    <xf numFmtId="4" fontId="18" fillId="0" borderId="63" xfId="50" applyFont="1" applyFill="1" applyBorder="1" applyAlignment="1">
      <alignment horizontal="center" vertical="center"/>
      <protection/>
    </xf>
    <xf numFmtId="4" fontId="18" fillId="0" borderId="64" xfId="50" applyFont="1" applyFill="1" applyBorder="1" applyAlignment="1">
      <alignment horizontal="center" vertical="center"/>
      <protection/>
    </xf>
    <xf numFmtId="4" fontId="2" fillId="0" borderId="65" xfId="0" applyNumberFormat="1" applyFont="1" applyBorder="1" applyAlignment="1">
      <alignment horizontal="justify" vertical="center" wrapText="1"/>
    </xf>
    <xf numFmtId="4" fontId="2" fillId="0" borderId="66" xfId="0" applyNumberFormat="1" applyFont="1" applyBorder="1" applyAlignment="1">
      <alignment horizontal="justify" vertical="center" wrapText="1"/>
    </xf>
    <xf numFmtId="4" fontId="2" fillId="0" borderId="22" xfId="0" applyNumberFormat="1" applyFont="1" applyBorder="1" applyAlignment="1">
      <alignment horizontal="justify" vertical="center" wrapText="1"/>
    </xf>
    <xf numFmtId="4" fontId="2" fillId="0" borderId="23" xfId="0" applyNumberFormat="1" applyFont="1" applyBorder="1" applyAlignment="1">
      <alignment horizontal="justify" vertical="center" wrapText="1"/>
    </xf>
    <xf numFmtId="0" fontId="44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41" fillId="0" borderId="55" xfId="0" applyFont="1" applyBorder="1" applyAlignment="1">
      <alignment horizontal="center" vertical="center"/>
    </xf>
    <xf numFmtId="0" fontId="33" fillId="42" borderId="0" xfId="0" applyFont="1" applyFill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25" xfId="0" applyFont="1" applyBorder="1" applyAlignment="1">
      <alignment horizontal="left" vertical="center" wrapText="1"/>
    </xf>
    <xf numFmtId="0" fontId="40" fillId="0" borderId="47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9" fontId="29" fillId="35" borderId="47" xfId="0" applyNumberFormat="1" applyFont="1" applyFill="1" applyBorder="1" applyAlignment="1" applyProtection="1">
      <alignment horizontal="left" vertical="center" wrapText="1"/>
      <protection locked="0"/>
    </xf>
    <xf numFmtId="0" fontId="29" fillId="35" borderId="47" xfId="0" applyFont="1" applyFill="1" applyBorder="1" applyAlignment="1" applyProtection="1">
      <alignment horizontal="left" vertical="center" wrapText="1"/>
      <protection locked="0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_12ETAPAS" xfId="50"/>
    <cellStyle name="Normal_203-PE-ORCA-00" xfId="51"/>
    <cellStyle name="Normal_Plan1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Separador de milhares_DLPROP 000-2005 (Const.Fórum N.Bandeirante)" xfId="59"/>
    <cellStyle name="Separador de milhares_DLPROP 000-2005 (Const.Fórum N.Bandeirante)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dxfs count="2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8" name="Text Box 9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9" name="Text Box 10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10" name="Text Box 11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11" name="Text Box 12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14300" cy="190500"/>
    <xdr:sp fLocksText="0">
      <xdr:nvSpPr>
        <xdr:cNvPr id="12" name="Text Box 13"/>
        <xdr:cNvSpPr txBox="1">
          <a:spLocks noChangeArrowheads="1"/>
        </xdr:cNvSpPr>
      </xdr:nvSpPr>
      <xdr:spPr>
        <a:xfrm>
          <a:off x="12973050" y="161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2" name="Rectangle 3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3" name="Rectangle 4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4" name="Rectangle 5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5" name="Rectangle 6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6" name="Rectangle 7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7" name="Rectangle 8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0</xdr:row>
      <xdr:rowOff>200025</xdr:rowOff>
    </xdr:to>
    <xdr:sp>
      <xdr:nvSpPr>
        <xdr:cNvPr id="8" name="Rectangle 9"/>
        <xdr:cNvSpPr>
          <a:spLocks/>
        </xdr:cNvSpPr>
      </xdr:nvSpPr>
      <xdr:spPr>
        <a:xfrm>
          <a:off x="790575" y="47625"/>
          <a:ext cx="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28</xdr:row>
      <xdr:rowOff>114300</xdr:rowOff>
    </xdr:from>
    <xdr:to>
      <xdr:col>3</xdr:col>
      <xdr:colOff>76200</xdr:colOff>
      <xdr:row>31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8601075"/>
          <a:ext cx="2952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sta%20Adtel%202016\@Comercial\Propostas\@Editais\2019\10%20-%20Outubro\21.10%20ENAP%2013.2019%20Manut%20Uasg%20114702\Campus%20Jardim\Detalhamento%20do%20B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 sem justificativa"/>
      <sheetName val="Base dados - TCU 2622_2013"/>
    </sheetNames>
    <sheetDataSet>
      <sheetData sheetId="1">
        <row r="2">
          <cell r="A2" t="str">
            <v>SIM</v>
          </cell>
        </row>
        <row r="3">
          <cell r="A3" t="str">
            <v>NÃO</v>
          </cell>
        </row>
        <row r="7">
          <cell r="A7" t="str">
            <v>Construção de Edifícios e Reformas (Quadras, unidades habitacionais, escolas, restaurantes, etc)</v>
          </cell>
          <cell r="B7">
            <v>3</v>
          </cell>
          <cell r="C7">
            <v>4</v>
          </cell>
          <cell r="D7">
            <v>5.5</v>
          </cell>
          <cell r="E7">
            <v>0.8</v>
          </cell>
          <cell r="F7">
            <v>0.8</v>
          </cell>
          <cell r="G7">
            <v>1</v>
          </cell>
          <cell r="H7">
            <v>0.97</v>
          </cell>
          <cell r="I7">
            <v>1.27</v>
          </cell>
          <cell r="J7">
            <v>1.27</v>
          </cell>
          <cell r="K7">
            <v>0.59</v>
          </cell>
          <cell r="L7">
            <v>1.23</v>
          </cell>
          <cell r="M7">
            <v>1.39</v>
          </cell>
          <cell r="N7">
            <v>6.16</v>
          </cell>
          <cell r="O7">
            <v>7.4</v>
          </cell>
          <cell r="P7">
            <v>8.96</v>
          </cell>
          <cell r="Q7">
            <v>3</v>
          </cell>
          <cell r="R7">
            <v>0.65</v>
          </cell>
          <cell r="S7">
            <v>2</v>
          </cell>
          <cell r="T7">
            <v>3.5</v>
          </cell>
          <cell r="U7">
            <v>5</v>
          </cell>
          <cell r="V7">
            <v>2</v>
          </cell>
          <cell r="W7">
            <v>20.34</v>
          </cell>
          <cell r="X7">
            <v>22.12</v>
          </cell>
          <cell r="Y7">
            <v>25</v>
          </cell>
        </row>
        <row r="8">
          <cell r="A8" t="str">
            <v>Construção de Praças</v>
          </cell>
          <cell r="B8">
            <v>3.8</v>
          </cell>
          <cell r="C8">
            <v>4.01</v>
          </cell>
          <cell r="D8">
            <v>4.67</v>
          </cell>
          <cell r="E8">
            <v>0.32</v>
          </cell>
          <cell r="F8">
            <v>0.4</v>
          </cell>
          <cell r="G8">
            <v>0.74</v>
          </cell>
          <cell r="H8">
            <v>0.5</v>
          </cell>
          <cell r="I8">
            <v>0.56</v>
          </cell>
          <cell r="J8">
            <v>0.97</v>
          </cell>
          <cell r="K8">
            <v>1.02</v>
          </cell>
          <cell r="L8">
            <v>1.11</v>
          </cell>
          <cell r="M8">
            <v>1.21</v>
          </cell>
          <cell r="N8">
            <v>6.64</v>
          </cell>
          <cell r="O8">
            <v>7.3</v>
          </cell>
          <cell r="P8">
            <v>8.69</v>
          </cell>
          <cell r="Q8">
            <v>3</v>
          </cell>
          <cell r="R8">
            <v>0.65</v>
          </cell>
          <cell r="S8">
            <v>2</v>
          </cell>
          <cell r="T8">
            <v>3.5</v>
          </cell>
          <cell r="U8">
            <v>5</v>
          </cell>
          <cell r="V8">
            <v>2</v>
          </cell>
          <cell r="W8">
            <v>19.6</v>
          </cell>
          <cell r="X8">
            <v>20.97</v>
          </cell>
          <cell r="Y8">
            <v>24.23</v>
          </cell>
        </row>
        <row r="9">
          <cell r="A9" t="str">
            <v>Construção de Rodovias (Pavimentação Urbana)</v>
          </cell>
          <cell r="B9">
            <v>3.8</v>
          </cell>
          <cell r="C9">
            <v>4.01</v>
          </cell>
          <cell r="D9">
            <v>4.67</v>
          </cell>
          <cell r="E9">
            <v>0.32</v>
          </cell>
          <cell r="F9">
            <v>0.4</v>
          </cell>
          <cell r="G9">
            <v>0.74</v>
          </cell>
          <cell r="H9">
            <v>0.5</v>
          </cell>
          <cell r="I9">
            <v>0.56</v>
          </cell>
          <cell r="J9">
            <v>0.97</v>
          </cell>
          <cell r="K9">
            <v>1.02</v>
          </cell>
          <cell r="L9">
            <v>1.11</v>
          </cell>
          <cell r="M9">
            <v>1.21</v>
          </cell>
          <cell r="N9">
            <v>6.64</v>
          </cell>
          <cell r="O9">
            <v>7.3</v>
          </cell>
          <cell r="P9">
            <v>8.69</v>
          </cell>
          <cell r="Q9">
            <v>3</v>
          </cell>
          <cell r="R9">
            <v>0.65</v>
          </cell>
          <cell r="S9">
            <v>2</v>
          </cell>
          <cell r="T9">
            <v>3.5</v>
          </cell>
          <cell r="U9">
            <v>5</v>
          </cell>
          <cell r="V9">
            <v>2</v>
          </cell>
          <cell r="W9">
            <v>19.6</v>
          </cell>
          <cell r="X9">
            <v>20.97</v>
          </cell>
          <cell r="Y9">
            <v>24.23</v>
          </cell>
        </row>
        <row r="10">
          <cell r="A10" t="str">
            <v>Construção de Ferrovias</v>
          </cell>
          <cell r="B10">
            <v>3.8</v>
          </cell>
          <cell r="C10">
            <v>4.01</v>
          </cell>
          <cell r="D10">
            <v>4.67</v>
          </cell>
          <cell r="E10">
            <v>0.32</v>
          </cell>
          <cell r="F10">
            <v>0.4</v>
          </cell>
          <cell r="G10">
            <v>0.74</v>
          </cell>
          <cell r="H10">
            <v>0.5</v>
          </cell>
          <cell r="I10">
            <v>0.56</v>
          </cell>
          <cell r="J10">
            <v>0.97</v>
          </cell>
          <cell r="K10">
            <v>1.02</v>
          </cell>
          <cell r="L10">
            <v>1.11</v>
          </cell>
          <cell r="M10">
            <v>1.21</v>
          </cell>
          <cell r="N10">
            <v>6.64</v>
          </cell>
          <cell r="O10">
            <v>7.3</v>
          </cell>
          <cell r="P10">
            <v>8.69</v>
          </cell>
          <cell r="Q10">
            <v>3</v>
          </cell>
          <cell r="R10">
            <v>0.65</v>
          </cell>
          <cell r="S10">
            <v>2</v>
          </cell>
          <cell r="T10">
            <v>3.5</v>
          </cell>
          <cell r="U10">
            <v>5</v>
          </cell>
          <cell r="V10">
            <v>2</v>
          </cell>
          <cell r="W10">
            <v>19.6</v>
          </cell>
          <cell r="X10">
            <v>20.97</v>
          </cell>
          <cell r="Y10">
            <v>24.23</v>
          </cell>
        </row>
        <row r="11">
          <cell r="A11" t="str">
            <v>Construção de Redes de Abastecimento de Água, Coleta de Esgoto e Construções Correlatas</v>
          </cell>
          <cell r="B11">
            <v>3.43</v>
          </cell>
          <cell r="C11">
            <v>4.93</v>
          </cell>
          <cell r="D11">
            <v>6.71</v>
          </cell>
          <cell r="E11">
            <v>0.28</v>
          </cell>
          <cell r="F11">
            <v>0.49</v>
          </cell>
          <cell r="G11">
            <v>0.75</v>
          </cell>
          <cell r="H11">
            <v>1</v>
          </cell>
          <cell r="I11">
            <v>1.39</v>
          </cell>
          <cell r="J11">
            <v>1.74</v>
          </cell>
          <cell r="K11">
            <v>0.94</v>
          </cell>
          <cell r="L11">
            <v>0.99</v>
          </cell>
          <cell r="M11">
            <v>1.17</v>
          </cell>
          <cell r="N11">
            <v>6.74</v>
          </cell>
          <cell r="O11">
            <v>8.04</v>
          </cell>
          <cell r="P11">
            <v>9.4</v>
          </cell>
          <cell r="Q11">
            <v>3</v>
          </cell>
          <cell r="R11">
            <v>0.65</v>
          </cell>
          <cell r="S11">
            <v>2</v>
          </cell>
          <cell r="T11">
            <v>3.5</v>
          </cell>
          <cell r="U11">
            <v>5</v>
          </cell>
          <cell r="V11">
            <v>2</v>
          </cell>
          <cell r="W11">
            <v>20.76</v>
          </cell>
          <cell r="X11">
            <v>24.18</v>
          </cell>
          <cell r="Y11">
            <v>26.44</v>
          </cell>
        </row>
        <row r="12">
          <cell r="A12" t="str">
            <v>Construção e Manutenção de Estações e Redes de Distribuição de Energia Elétrica</v>
          </cell>
          <cell r="B12">
            <v>5.29</v>
          </cell>
          <cell r="C12">
            <v>5.92</v>
          </cell>
          <cell r="D12">
            <v>7.93</v>
          </cell>
          <cell r="E12">
            <v>0.25</v>
          </cell>
          <cell r="F12">
            <v>0.51</v>
          </cell>
          <cell r="G12">
            <v>0.56</v>
          </cell>
          <cell r="H12">
            <v>1</v>
          </cell>
          <cell r="I12">
            <v>1.48</v>
          </cell>
          <cell r="J12">
            <v>1.97</v>
          </cell>
          <cell r="K12">
            <v>1.01</v>
          </cell>
          <cell r="L12">
            <v>1.07</v>
          </cell>
          <cell r="M12">
            <v>1.11</v>
          </cell>
          <cell r="N12">
            <v>8</v>
          </cell>
          <cell r="O12">
            <v>8.31</v>
          </cell>
          <cell r="P12">
            <v>9.51</v>
          </cell>
          <cell r="Q12">
            <v>3</v>
          </cell>
          <cell r="R12">
            <v>0.65</v>
          </cell>
          <cell r="S12">
            <v>2</v>
          </cell>
          <cell r="T12">
            <v>3.5</v>
          </cell>
          <cell r="U12">
            <v>5</v>
          </cell>
          <cell r="V12">
            <v>2</v>
          </cell>
          <cell r="W12">
            <v>24</v>
          </cell>
          <cell r="X12">
            <v>25.84</v>
          </cell>
          <cell r="Y12">
            <v>27.86</v>
          </cell>
        </row>
        <row r="13">
          <cell r="A13" t="str">
            <v>Portuárias, Marítimas e Fluviais</v>
          </cell>
          <cell r="B13">
            <v>4</v>
          </cell>
          <cell r="C13">
            <v>5.52</v>
          </cell>
          <cell r="D13">
            <v>7.85</v>
          </cell>
          <cell r="E13">
            <v>0.81</v>
          </cell>
          <cell r="F13">
            <v>1.22</v>
          </cell>
          <cell r="G13">
            <v>1.99</v>
          </cell>
          <cell r="H13">
            <v>1.46</v>
          </cell>
          <cell r="I13">
            <v>2.32</v>
          </cell>
          <cell r="J13">
            <v>3.16</v>
          </cell>
          <cell r="K13">
            <v>0.94</v>
          </cell>
          <cell r="L13">
            <v>1.02</v>
          </cell>
          <cell r="M13">
            <v>1.33</v>
          </cell>
          <cell r="N13">
            <v>7.14</v>
          </cell>
          <cell r="O13">
            <v>8.4</v>
          </cell>
          <cell r="P13">
            <v>10.43</v>
          </cell>
          <cell r="Q13">
            <v>3</v>
          </cell>
          <cell r="R13">
            <v>0.65</v>
          </cell>
          <cell r="S13">
            <v>2</v>
          </cell>
          <cell r="T13">
            <v>3.5</v>
          </cell>
          <cell r="U13">
            <v>5</v>
          </cell>
          <cell r="V13">
            <v>2</v>
          </cell>
          <cell r="W13">
            <v>22.8</v>
          </cell>
          <cell r="X13">
            <v>27.48</v>
          </cell>
          <cell r="Y13">
            <v>30.95</v>
          </cell>
        </row>
        <row r="14">
          <cell r="A14" t="str">
            <v>Fornecimento de Materiais e Equipamentos</v>
          </cell>
          <cell r="B14">
            <v>1.5</v>
          </cell>
          <cell r="C14">
            <v>3.45</v>
          </cell>
          <cell r="D14">
            <v>4.49</v>
          </cell>
          <cell r="E14">
            <v>0.3</v>
          </cell>
          <cell r="F14">
            <v>0.48</v>
          </cell>
          <cell r="G14">
            <v>0.82</v>
          </cell>
          <cell r="H14">
            <v>0.56</v>
          </cell>
          <cell r="I14">
            <v>0.85</v>
          </cell>
          <cell r="J14">
            <v>0.89</v>
          </cell>
          <cell r="K14">
            <v>0.85</v>
          </cell>
          <cell r="L14">
            <v>0.85</v>
          </cell>
          <cell r="M14">
            <v>1.11</v>
          </cell>
          <cell r="N14">
            <v>3.5</v>
          </cell>
          <cell r="O14">
            <v>5.11</v>
          </cell>
          <cell r="P14">
            <v>6.22</v>
          </cell>
          <cell r="Q14">
            <v>3</v>
          </cell>
          <cell r="R14">
            <v>0.65</v>
          </cell>
          <cell r="S14">
            <v>2</v>
          </cell>
          <cell r="T14">
            <v>3.5</v>
          </cell>
          <cell r="U14">
            <v>5</v>
          </cell>
          <cell r="V14">
            <v>2</v>
          </cell>
          <cell r="W14">
            <v>11.1</v>
          </cell>
          <cell r="X14">
            <v>14.02</v>
          </cell>
          <cell r="Y14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4"/>
  <sheetViews>
    <sheetView showGridLines="0" tabSelected="1" view="pageBreakPreview" zoomScale="73" zoomScaleNormal="73" zoomScaleSheetLayoutView="73" zoomScalePageLayoutView="0" workbookViewId="0" topLeftCell="A1">
      <pane ySplit="9" topLeftCell="A211" activePane="bottomLeft" state="frozen"/>
      <selection pane="topLeft" activeCell="A1" sqref="A1"/>
      <selection pane="bottomLeft" activeCell="L301" sqref="L301"/>
    </sheetView>
  </sheetViews>
  <sheetFormatPr defaultColWidth="9.140625" defaultRowHeight="12.75" outlineLevelRow="1"/>
  <cols>
    <col min="1" max="1" width="12.7109375" style="101" customWidth="1"/>
    <col min="2" max="2" width="24.8515625" style="101" customWidth="1"/>
    <col min="3" max="3" width="95.57421875" style="0" customWidth="1"/>
    <col min="4" max="4" width="10.8515625" style="322" customWidth="1"/>
    <col min="5" max="5" width="15.28125" style="275" customWidth="1"/>
    <col min="6" max="6" width="17.00390625" style="314" customWidth="1"/>
    <col min="7" max="7" width="18.28125" style="314" customWidth="1"/>
    <col min="8" max="8" width="18.421875" style="315" customWidth="1"/>
    <col min="9" max="9" width="18.8515625" style="314" bestFit="1" customWidth="1"/>
    <col min="10" max="10" width="19.00390625" style="314" customWidth="1"/>
    <col min="11" max="11" width="17.8515625" style="314" customWidth="1"/>
    <col min="12" max="12" width="23.57421875" style="0" bestFit="1" customWidth="1"/>
    <col min="13" max="13" width="18.140625" style="0" customWidth="1"/>
    <col min="14" max="14" width="20.57421875" style="0" customWidth="1"/>
    <col min="15" max="15" width="19.57421875" style="0" customWidth="1"/>
    <col min="16" max="16" width="12.421875" style="0" bestFit="1" customWidth="1"/>
    <col min="17" max="17" width="19.28125" style="0" customWidth="1"/>
  </cols>
  <sheetData>
    <row r="2" spans="1:12" s="231" customFormat="1" ht="15.75">
      <c r="A2" s="229"/>
      <c r="B2" s="229"/>
      <c r="C2" s="115" t="s">
        <v>261</v>
      </c>
      <c r="D2" s="254"/>
      <c r="E2" s="444"/>
      <c r="F2" s="444"/>
      <c r="G2" s="276"/>
      <c r="H2" s="276"/>
      <c r="I2" s="276"/>
      <c r="J2" s="276"/>
      <c r="K2" s="276"/>
      <c r="L2" s="230"/>
    </row>
    <row r="3" spans="1:12" s="231" customFormat="1" ht="30">
      <c r="A3" s="229"/>
      <c r="B3" s="229"/>
      <c r="C3" s="115" t="s">
        <v>262</v>
      </c>
      <c r="D3" s="254"/>
      <c r="E3" s="257" t="s">
        <v>643</v>
      </c>
      <c r="F3" s="276"/>
      <c r="G3" s="276"/>
      <c r="H3" s="276"/>
      <c r="I3" s="276"/>
      <c r="J3" s="276"/>
      <c r="K3" s="276"/>
      <c r="L3" s="230"/>
    </row>
    <row r="4" spans="1:12" s="231" customFormat="1" ht="15.75">
      <c r="A4" s="229"/>
      <c r="B4" s="229"/>
      <c r="C4" s="115" t="s">
        <v>263</v>
      </c>
      <c r="D4" s="254"/>
      <c r="E4" s="452" t="s">
        <v>260</v>
      </c>
      <c r="F4" s="453"/>
      <c r="G4" s="453"/>
      <c r="H4" s="276"/>
      <c r="I4" s="276"/>
      <c r="J4" s="276"/>
      <c r="K4" s="276"/>
      <c r="L4" s="230"/>
    </row>
    <row r="5" spans="1:12" s="115" customFormat="1" ht="18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</row>
    <row r="6" spans="1:12" s="115" customFormat="1" ht="18">
      <c r="A6" s="445" t="s">
        <v>65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</row>
    <row r="7" spans="1:12" s="115" customFormat="1" ht="18">
      <c r="A7" s="445"/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</row>
    <row r="8" spans="1:17" s="117" customFormat="1" ht="15.75">
      <c r="A8" s="446" t="s">
        <v>359</v>
      </c>
      <c r="B8" s="447"/>
      <c r="C8" s="447"/>
      <c r="D8" s="447"/>
      <c r="E8" s="448"/>
      <c r="F8" s="449"/>
      <c r="G8" s="450"/>
      <c r="H8" s="451"/>
      <c r="I8" s="454" t="s">
        <v>645</v>
      </c>
      <c r="J8" s="455"/>
      <c r="K8" s="455"/>
      <c r="L8" s="116" t="s">
        <v>644</v>
      </c>
      <c r="M8" s="231"/>
      <c r="N8" s="118" t="s">
        <v>180</v>
      </c>
      <c r="O8" s="118" t="s">
        <v>181</v>
      </c>
      <c r="P8" s="249">
        <v>1.28</v>
      </c>
      <c r="Q8" s="251">
        <f>L292</f>
        <v>253621.9</v>
      </c>
    </row>
    <row r="9" spans="1:15" s="129" customFormat="1" ht="31.5">
      <c r="A9" s="223" t="s">
        <v>10</v>
      </c>
      <c r="B9" s="223" t="s">
        <v>266</v>
      </c>
      <c r="C9" s="223" t="s">
        <v>11</v>
      </c>
      <c r="D9" s="223" t="s">
        <v>182</v>
      </c>
      <c r="E9" s="258" t="s">
        <v>268</v>
      </c>
      <c r="F9" s="277" t="s">
        <v>180</v>
      </c>
      <c r="G9" s="277" t="s">
        <v>181</v>
      </c>
      <c r="H9" s="278" t="s">
        <v>257</v>
      </c>
      <c r="I9" s="277" t="s">
        <v>258</v>
      </c>
      <c r="J9" s="277" t="s">
        <v>259</v>
      </c>
      <c r="K9" s="277" t="s">
        <v>183</v>
      </c>
      <c r="L9" s="118" t="s">
        <v>256</v>
      </c>
      <c r="M9" s="117"/>
      <c r="N9" s="127"/>
      <c r="O9" s="127"/>
    </row>
    <row r="10" spans="1:15" s="129" customFormat="1" ht="12.75">
      <c r="A10" s="106">
        <v>1</v>
      </c>
      <c r="B10" s="106"/>
      <c r="C10" s="104" t="s">
        <v>120</v>
      </c>
      <c r="D10" s="126"/>
      <c r="E10" s="259"/>
      <c r="F10" s="279"/>
      <c r="G10" s="279"/>
      <c r="H10" s="280"/>
      <c r="I10" s="279"/>
      <c r="J10" s="279"/>
      <c r="K10" s="279"/>
      <c r="L10" s="128"/>
      <c r="N10" s="130"/>
      <c r="O10" s="130"/>
    </row>
    <row r="11" spans="1:15" s="129" customFormat="1" ht="12.75">
      <c r="A11" s="106" t="s">
        <v>66</v>
      </c>
      <c r="B11" s="106"/>
      <c r="C11" s="104" t="s">
        <v>121</v>
      </c>
      <c r="D11" s="126"/>
      <c r="E11" s="259"/>
      <c r="F11" s="281"/>
      <c r="G11" s="281"/>
      <c r="H11" s="280"/>
      <c r="I11" s="279"/>
      <c r="J11" s="279"/>
      <c r="K11" s="279"/>
      <c r="L11" s="128"/>
      <c r="N11" s="132">
        <v>800</v>
      </c>
      <c r="O11" s="201"/>
    </row>
    <row r="12" spans="1:16" s="129" customFormat="1" ht="12.75">
      <c r="A12" s="131" t="s">
        <v>67</v>
      </c>
      <c r="B12" s="131" t="s">
        <v>641</v>
      </c>
      <c r="C12" s="200" t="s">
        <v>642</v>
      </c>
      <c r="D12" s="131" t="s">
        <v>473</v>
      </c>
      <c r="E12" s="381">
        <v>1</v>
      </c>
      <c r="F12" s="343">
        <v>0</v>
      </c>
      <c r="G12" s="343">
        <v>233.94</v>
      </c>
      <c r="H12" s="382">
        <v>233.94</v>
      </c>
      <c r="I12" s="343">
        <v>0</v>
      </c>
      <c r="J12" s="282">
        <f>G12*E12</f>
        <v>233.94</v>
      </c>
      <c r="K12" s="282">
        <f>I12+J12</f>
        <v>233.94</v>
      </c>
      <c r="L12" s="379"/>
      <c r="M12" s="383"/>
      <c r="O12" s="132">
        <v>700</v>
      </c>
      <c r="P12" s="380"/>
    </row>
    <row r="13" spans="1:15" s="129" customFormat="1" ht="12.75">
      <c r="A13" s="368"/>
      <c r="B13" s="368"/>
      <c r="C13" s="364" t="s">
        <v>185</v>
      </c>
      <c r="D13" s="368"/>
      <c r="E13" s="372"/>
      <c r="F13" s="286"/>
      <c r="G13" s="286"/>
      <c r="H13" s="291"/>
      <c r="I13" s="286"/>
      <c r="J13" s="286"/>
      <c r="K13" s="286"/>
      <c r="L13" s="369">
        <f>SUM(K12)</f>
        <v>233.94</v>
      </c>
      <c r="M13" s="367"/>
      <c r="N13" s="132"/>
      <c r="O13" s="351"/>
    </row>
    <row r="14" spans="1:15" s="129" customFormat="1" ht="12.75">
      <c r="A14" s="179"/>
      <c r="B14" s="179"/>
      <c r="C14" s="180" t="s">
        <v>188</v>
      </c>
      <c r="D14" s="179"/>
      <c r="E14" s="260"/>
      <c r="F14" s="283"/>
      <c r="G14" s="283"/>
      <c r="H14" s="287"/>
      <c r="I14" s="288">
        <f>SUM(I12:I13)</f>
        <v>0</v>
      </c>
      <c r="J14" s="288">
        <f>SUM(J12:J13)</f>
        <v>233.94</v>
      </c>
      <c r="K14" s="283"/>
      <c r="L14" s="182">
        <f>L13</f>
        <v>233.94</v>
      </c>
      <c r="M14" s="377">
        <f>L14*$K$295+(L14)</f>
        <v>287.21</v>
      </c>
      <c r="N14" s="132"/>
      <c r="O14" s="134"/>
    </row>
    <row r="15" spans="1:15" s="129" customFormat="1" ht="12.75">
      <c r="A15" s="126"/>
      <c r="B15" s="126"/>
      <c r="C15" s="106"/>
      <c r="D15" s="126"/>
      <c r="E15" s="259"/>
      <c r="F15" s="282"/>
      <c r="G15" s="289"/>
      <c r="H15" s="290"/>
      <c r="I15" s="279"/>
      <c r="J15" s="279"/>
      <c r="K15" s="279"/>
      <c r="L15" s="135"/>
      <c r="N15" s="132"/>
      <c r="O15" s="134"/>
    </row>
    <row r="16" spans="1:15" s="129" customFormat="1" ht="12.75">
      <c r="A16" s="106">
        <v>2</v>
      </c>
      <c r="B16" s="106"/>
      <c r="C16" s="104" t="s">
        <v>123</v>
      </c>
      <c r="D16" s="131"/>
      <c r="E16" s="256"/>
      <c r="F16" s="282"/>
      <c r="G16" s="289"/>
      <c r="H16" s="284"/>
      <c r="I16" s="282"/>
      <c r="J16" s="282"/>
      <c r="K16" s="282"/>
      <c r="L16" s="133"/>
      <c r="N16" s="132"/>
      <c r="O16" s="134"/>
    </row>
    <row r="17" spans="1:15" s="129" customFormat="1" ht="12.75">
      <c r="A17" s="106" t="s">
        <v>68</v>
      </c>
      <c r="B17" s="106"/>
      <c r="C17" s="104" t="s">
        <v>124</v>
      </c>
      <c r="D17" s="131"/>
      <c r="E17" s="256"/>
      <c r="F17" s="282"/>
      <c r="G17" s="289"/>
      <c r="H17" s="284"/>
      <c r="I17" s="282"/>
      <c r="J17" s="282"/>
      <c r="K17" s="282"/>
      <c r="L17" s="133"/>
      <c r="N17" s="132">
        <v>0.68</v>
      </c>
      <c r="O17" s="201"/>
    </row>
    <row r="18" spans="1:15" s="129" customFormat="1" ht="12.75">
      <c r="A18" s="131" t="s">
        <v>69</v>
      </c>
      <c r="B18" s="131" t="s">
        <v>523</v>
      </c>
      <c r="C18" s="200" t="s">
        <v>524</v>
      </c>
      <c r="D18" s="131" t="s">
        <v>35</v>
      </c>
      <c r="E18" s="256">
        <v>6</v>
      </c>
      <c r="F18" s="343">
        <v>250</v>
      </c>
      <c r="G18" s="343">
        <v>31.23</v>
      </c>
      <c r="H18" s="284">
        <f>G18+F18</f>
        <v>281.23</v>
      </c>
      <c r="I18" s="282">
        <f>F18*E18</f>
        <v>1500</v>
      </c>
      <c r="J18" s="282">
        <f>G18*E18</f>
        <v>187.38</v>
      </c>
      <c r="K18" s="282">
        <f>I18+J18</f>
        <v>1687.38</v>
      </c>
      <c r="L18" s="141"/>
      <c r="N18" s="132">
        <v>47.64</v>
      </c>
      <c r="O18" s="351">
        <v>16.44</v>
      </c>
    </row>
    <row r="19" spans="1:15" s="129" customFormat="1" ht="12.75">
      <c r="A19" s="236"/>
      <c r="B19" s="236"/>
      <c r="C19" s="232" t="s">
        <v>185</v>
      </c>
      <c r="D19" s="236"/>
      <c r="E19" s="261"/>
      <c r="F19" s="286"/>
      <c r="G19" s="286"/>
      <c r="H19" s="291"/>
      <c r="I19" s="286"/>
      <c r="J19" s="286"/>
      <c r="K19" s="286"/>
      <c r="L19" s="237">
        <f>SUM(K18:K18)</f>
        <v>1687.38</v>
      </c>
      <c r="M19" s="235"/>
      <c r="N19" s="132"/>
      <c r="O19" s="134"/>
    </row>
    <row r="20" spans="1:15" s="129" customFormat="1" ht="12.75">
      <c r="A20" s="106" t="s">
        <v>70</v>
      </c>
      <c r="B20" s="106"/>
      <c r="C20" s="104" t="s">
        <v>27</v>
      </c>
      <c r="D20" s="136"/>
      <c r="E20" s="262"/>
      <c r="F20" s="282"/>
      <c r="G20" s="289"/>
      <c r="H20" s="284"/>
      <c r="I20" s="282"/>
      <c r="J20" s="282"/>
      <c r="K20" s="282"/>
      <c r="L20" s="224"/>
      <c r="N20" s="132">
        <v>2.69</v>
      </c>
      <c r="O20" s="134">
        <v>0.56</v>
      </c>
    </row>
    <row r="21" spans="1:15" s="235" customFormat="1" ht="12.75">
      <c r="A21" s="131" t="s">
        <v>71</v>
      </c>
      <c r="B21" s="131"/>
      <c r="C21" s="200" t="s">
        <v>125</v>
      </c>
      <c r="D21" s="131" t="s">
        <v>35</v>
      </c>
      <c r="E21" s="256">
        <v>87.42</v>
      </c>
      <c r="F21" s="282">
        <f>N20*$P$8</f>
        <v>3.44</v>
      </c>
      <c r="G21" s="282">
        <f>O20*$P$8</f>
        <v>0.72</v>
      </c>
      <c r="H21" s="284">
        <f>G21+F21</f>
        <v>4.16</v>
      </c>
      <c r="I21" s="282">
        <f>F21*E21</f>
        <v>300.72</v>
      </c>
      <c r="J21" s="282">
        <f>G21*E21</f>
        <v>62.94</v>
      </c>
      <c r="K21" s="282">
        <f>I21+J21</f>
        <v>363.66</v>
      </c>
      <c r="L21" s="225"/>
      <c r="M21" s="129"/>
      <c r="N21" s="233"/>
      <c r="O21" s="233"/>
    </row>
    <row r="22" spans="1:15" s="144" customFormat="1" ht="12.75">
      <c r="A22" s="236"/>
      <c r="B22" s="236"/>
      <c r="C22" s="232" t="s">
        <v>185</v>
      </c>
      <c r="D22" s="236"/>
      <c r="E22" s="261"/>
      <c r="F22" s="286"/>
      <c r="G22" s="286"/>
      <c r="H22" s="291"/>
      <c r="I22" s="286"/>
      <c r="J22" s="286"/>
      <c r="K22" s="286"/>
      <c r="L22" s="237">
        <f>SUM(K21)</f>
        <v>363.66</v>
      </c>
      <c r="M22" s="235"/>
      <c r="N22" s="158"/>
      <c r="O22" s="158"/>
    </row>
    <row r="23" spans="1:15" s="129" customFormat="1" ht="12.75">
      <c r="A23" s="157" t="s">
        <v>72</v>
      </c>
      <c r="B23" s="157"/>
      <c r="C23" s="159" t="s">
        <v>126</v>
      </c>
      <c r="D23" s="142"/>
      <c r="E23" s="263"/>
      <c r="F23" s="292"/>
      <c r="G23" s="292"/>
      <c r="H23" s="284"/>
      <c r="I23" s="292"/>
      <c r="J23" s="292"/>
      <c r="K23" s="292"/>
      <c r="L23" s="228"/>
      <c r="M23" s="144"/>
      <c r="N23" s="132">
        <v>0.68</v>
      </c>
      <c r="O23" s="201"/>
    </row>
    <row r="24" spans="1:15" s="129" customFormat="1" ht="25.5">
      <c r="A24" s="131" t="s">
        <v>73</v>
      </c>
      <c r="B24" s="131" t="s">
        <v>508</v>
      </c>
      <c r="C24" s="200" t="s">
        <v>274</v>
      </c>
      <c r="D24" s="131" t="s">
        <v>28</v>
      </c>
      <c r="E24" s="256">
        <v>208</v>
      </c>
      <c r="F24" s="282">
        <v>1.38</v>
      </c>
      <c r="G24" s="282">
        <f>1.82+0.5</f>
        <v>2.32</v>
      </c>
      <c r="H24" s="284">
        <f>G24+F24</f>
        <v>3.7</v>
      </c>
      <c r="I24" s="282">
        <f>F24*E24</f>
        <v>287.04</v>
      </c>
      <c r="J24" s="282">
        <f>G24*E24</f>
        <v>482.56</v>
      </c>
      <c r="K24" s="282">
        <f>I24+J24</f>
        <v>769.6</v>
      </c>
      <c r="L24" s="226"/>
      <c r="N24" s="132">
        <v>2.26</v>
      </c>
      <c r="O24" s="201"/>
    </row>
    <row r="25" spans="1:15" s="235" customFormat="1" ht="25.5">
      <c r="A25" s="131" t="s">
        <v>74</v>
      </c>
      <c r="B25" s="131" t="s">
        <v>507</v>
      </c>
      <c r="C25" s="200" t="s">
        <v>275</v>
      </c>
      <c r="D25" s="131" t="s">
        <v>35</v>
      </c>
      <c r="E25" s="256">
        <f>(16.9+1.7)*(4.7)</f>
        <v>87.42</v>
      </c>
      <c r="F25" s="282">
        <v>0</v>
      </c>
      <c r="G25" s="282">
        <f>1.5+1.65+0.04+0.03</f>
        <v>3.22</v>
      </c>
      <c r="H25" s="284">
        <f>G25+F25</f>
        <v>3.22</v>
      </c>
      <c r="I25" s="282">
        <f>F25*E25</f>
        <v>0</v>
      </c>
      <c r="J25" s="282">
        <f>G25*E25</f>
        <v>281.49</v>
      </c>
      <c r="K25" s="282">
        <f>I25+J25</f>
        <v>281.49</v>
      </c>
      <c r="L25" s="226"/>
      <c r="M25" s="129"/>
      <c r="N25" s="233"/>
      <c r="O25" s="233"/>
    </row>
    <row r="26" spans="1:15" s="129" customFormat="1" ht="12.75">
      <c r="A26" s="236"/>
      <c r="B26" s="236"/>
      <c r="C26" s="232" t="s">
        <v>185</v>
      </c>
      <c r="D26" s="236"/>
      <c r="E26" s="261"/>
      <c r="F26" s="286"/>
      <c r="G26" s="286"/>
      <c r="H26" s="291"/>
      <c r="I26" s="286"/>
      <c r="J26" s="286"/>
      <c r="K26" s="286"/>
      <c r="L26" s="237">
        <f>SUM(K24:K25)</f>
        <v>1051.09</v>
      </c>
      <c r="M26" s="235"/>
      <c r="N26" s="181"/>
      <c r="O26" s="181"/>
    </row>
    <row r="27" spans="1:15" s="129" customFormat="1" ht="12.75">
      <c r="A27" s="157" t="s">
        <v>264</v>
      </c>
      <c r="B27" s="157"/>
      <c r="C27" s="159" t="s">
        <v>265</v>
      </c>
      <c r="D27" s="142"/>
      <c r="E27" s="263"/>
      <c r="F27" s="292"/>
      <c r="G27" s="292"/>
      <c r="H27" s="284"/>
      <c r="I27" s="292"/>
      <c r="J27" s="292"/>
      <c r="K27" s="292"/>
      <c r="L27" s="228"/>
      <c r="M27" s="144"/>
      <c r="N27" s="132">
        <v>0.68</v>
      </c>
      <c r="O27" s="201"/>
    </row>
    <row r="28" spans="1:15" s="341" customFormat="1" ht="25.5">
      <c r="A28" s="131" t="s">
        <v>534</v>
      </c>
      <c r="B28" s="131" t="s">
        <v>267</v>
      </c>
      <c r="C28" s="200" t="s">
        <v>269</v>
      </c>
      <c r="D28" s="131" t="s">
        <v>35</v>
      </c>
      <c r="E28" s="256">
        <f>256.7+105.66</f>
        <v>362.36</v>
      </c>
      <c r="F28" s="282">
        <f>2.86</f>
        <v>2.86</v>
      </c>
      <c r="G28" s="282">
        <f>0.2+6.55</f>
        <v>6.75</v>
      </c>
      <c r="H28" s="284">
        <f>G28+F28</f>
        <v>9.61</v>
      </c>
      <c r="I28" s="282">
        <f>F28*E28</f>
        <v>1036.35</v>
      </c>
      <c r="J28" s="282">
        <f>G28*E28</f>
        <v>2445.93</v>
      </c>
      <c r="K28" s="282">
        <f>I28+J28</f>
        <v>3482.28</v>
      </c>
      <c r="L28" s="226"/>
      <c r="M28" s="129"/>
      <c r="N28" s="340"/>
      <c r="O28" s="340"/>
    </row>
    <row r="29" spans="1:15" s="341" customFormat="1" ht="12.75">
      <c r="A29" s="131" t="s">
        <v>535</v>
      </c>
      <c r="B29" s="131" t="s">
        <v>271</v>
      </c>
      <c r="C29" s="200" t="s">
        <v>270</v>
      </c>
      <c r="D29" s="131" t="s">
        <v>28</v>
      </c>
      <c r="E29" s="256">
        <f>(112.78*0.1)+(362.36*0.05)</f>
        <v>29.4</v>
      </c>
      <c r="F29" s="282">
        <f>29.85</f>
        <v>29.85</v>
      </c>
      <c r="G29" s="282">
        <f>4.28+65.03</f>
        <v>69.31</v>
      </c>
      <c r="H29" s="284">
        <f>G29+F29</f>
        <v>99.16</v>
      </c>
      <c r="I29" s="282">
        <f>F29*E29</f>
        <v>877.59</v>
      </c>
      <c r="J29" s="282">
        <f>G29*E29</f>
        <v>2037.71</v>
      </c>
      <c r="K29" s="282">
        <f>I29+J29</f>
        <v>2915.3</v>
      </c>
      <c r="L29" s="226"/>
      <c r="M29" s="129"/>
      <c r="N29" s="340"/>
      <c r="O29" s="340"/>
    </row>
    <row r="30" spans="1:15" s="341" customFormat="1" ht="12.75">
      <c r="A30" s="131" t="s">
        <v>536</v>
      </c>
      <c r="B30" s="131" t="s">
        <v>272</v>
      </c>
      <c r="C30" s="200" t="s">
        <v>273</v>
      </c>
      <c r="D30" s="131" t="s">
        <v>28</v>
      </c>
      <c r="E30" s="256">
        <f>((E28*0.02)+E29)*1.3</f>
        <v>47.64</v>
      </c>
      <c r="F30" s="282">
        <v>0</v>
      </c>
      <c r="G30" s="282">
        <f>81.6+34.87+39.69</f>
        <v>156.16</v>
      </c>
      <c r="H30" s="284">
        <f>G30+F30</f>
        <v>156.16</v>
      </c>
      <c r="I30" s="282">
        <f>F30*E30</f>
        <v>0</v>
      </c>
      <c r="J30" s="282">
        <f>G30*E30</f>
        <v>7439.46</v>
      </c>
      <c r="K30" s="282">
        <f>I30+J30</f>
        <v>7439.46</v>
      </c>
      <c r="L30" s="226"/>
      <c r="M30" s="129"/>
      <c r="N30" s="340"/>
      <c r="O30" s="340"/>
    </row>
    <row r="31" spans="1:15" s="129" customFormat="1" ht="12.75">
      <c r="A31" s="236"/>
      <c r="B31" s="236"/>
      <c r="C31" s="232" t="s">
        <v>185</v>
      </c>
      <c r="D31" s="236"/>
      <c r="E31" s="261"/>
      <c r="F31" s="286"/>
      <c r="G31" s="286"/>
      <c r="H31" s="291"/>
      <c r="I31" s="286"/>
      <c r="J31" s="286"/>
      <c r="K31" s="286"/>
      <c r="L31" s="237">
        <f>SUM(K28:K30)</f>
        <v>13837.04</v>
      </c>
      <c r="M31" s="235"/>
      <c r="N31" s="181"/>
      <c r="O31" s="181"/>
    </row>
    <row r="32" spans="1:15" s="235" customFormat="1" ht="12.75">
      <c r="A32" s="131"/>
      <c r="B32" s="131"/>
      <c r="C32" s="200"/>
      <c r="D32" s="131"/>
      <c r="E32" s="256"/>
      <c r="F32" s="282"/>
      <c r="G32" s="282"/>
      <c r="H32" s="284"/>
      <c r="I32" s="282"/>
      <c r="J32" s="282"/>
      <c r="K32" s="282"/>
      <c r="L32" s="226"/>
      <c r="M32" s="129"/>
      <c r="N32" s="233"/>
      <c r="O32" s="233"/>
    </row>
    <row r="33" spans="1:15" s="129" customFormat="1" ht="12.75">
      <c r="A33" s="179"/>
      <c r="B33" s="179"/>
      <c r="C33" s="180" t="s">
        <v>187</v>
      </c>
      <c r="D33" s="179"/>
      <c r="E33" s="260"/>
      <c r="F33" s="283"/>
      <c r="G33" s="283"/>
      <c r="H33" s="287"/>
      <c r="I33" s="288">
        <f>SUM(I18:I30)</f>
        <v>4001.7</v>
      </c>
      <c r="J33" s="288">
        <f>SUM(J18:J30)</f>
        <v>12937.47</v>
      </c>
      <c r="K33" s="283"/>
      <c r="L33" s="227">
        <f>SUM(L16:L31)</f>
        <v>16939.17</v>
      </c>
      <c r="M33" s="377">
        <f>L33*$K$295+(L33)</f>
        <v>20796.22</v>
      </c>
      <c r="N33" s="132"/>
      <c r="O33" s="134"/>
    </row>
    <row r="34" spans="1:14" s="129" customFormat="1" ht="12.75">
      <c r="A34" s="106">
        <v>3</v>
      </c>
      <c r="B34" s="104"/>
      <c r="C34" s="104" t="s">
        <v>484</v>
      </c>
      <c r="D34" s="131"/>
      <c r="E34" s="333"/>
      <c r="F34" s="132"/>
      <c r="G34" s="134"/>
      <c r="H34" s="334"/>
      <c r="I34" s="133"/>
      <c r="J34" s="133"/>
      <c r="K34" s="133"/>
      <c r="M34" s="132"/>
      <c r="N34" s="134"/>
    </row>
    <row r="35" spans="1:14" s="129" customFormat="1" ht="12.75">
      <c r="A35" s="106" t="s">
        <v>485</v>
      </c>
      <c r="B35" s="142"/>
      <c r="C35" s="104" t="s">
        <v>486</v>
      </c>
      <c r="D35" s="335"/>
      <c r="E35" s="336"/>
      <c r="F35" s="132"/>
      <c r="G35" s="134"/>
      <c r="H35" s="337"/>
      <c r="I35" s="133"/>
      <c r="J35" s="133"/>
      <c r="K35" s="133"/>
      <c r="L35" s="338"/>
      <c r="M35" s="132"/>
      <c r="N35" s="134">
        <v>3.06</v>
      </c>
    </row>
    <row r="36" spans="1:14" s="129" customFormat="1" ht="25.5">
      <c r="A36" s="131" t="s">
        <v>487</v>
      </c>
      <c r="B36" s="142" t="s">
        <v>488</v>
      </c>
      <c r="C36" s="200" t="s">
        <v>489</v>
      </c>
      <c r="D36" s="335" t="s">
        <v>35</v>
      </c>
      <c r="E36" s="256">
        <f>31.95</f>
        <v>31.95</v>
      </c>
      <c r="F36" s="282">
        <f>37.75+23.52+1+0.41+0.57</f>
        <v>63.25</v>
      </c>
      <c r="G36" s="282">
        <f>3.85+22.87+1.07+2.64</f>
        <v>30.43</v>
      </c>
      <c r="H36" s="284">
        <f>G36+F36</f>
        <v>93.68</v>
      </c>
      <c r="I36" s="282">
        <f>F36*E36</f>
        <v>2020.84</v>
      </c>
      <c r="J36" s="282">
        <f>G36*E36</f>
        <v>972.24</v>
      </c>
      <c r="K36" s="282">
        <f>I36+J36</f>
        <v>2993.08</v>
      </c>
      <c r="L36" s="338"/>
      <c r="M36" s="132"/>
      <c r="N36" s="134">
        <v>1.55</v>
      </c>
    </row>
    <row r="37" spans="1:14" s="129" customFormat="1" ht="25.5">
      <c r="A37" s="131" t="s">
        <v>490</v>
      </c>
      <c r="B37" s="142" t="s">
        <v>491</v>
      </c>
      <c r="C37" s="200" t="s">
        <v>492</v>
      </c>
      <c r="D37" s="335" t="s">
        <v>493</v>
      </c>
      <c r="E37" s="256">
        <f>E38*40</f>
        <v>945.6</v>
      </c>
      <c r="F37" s="282">
        <f>0.007+0.33+6.43</f>
        <v>6.77</v>
      </c>
      <c r="G37" s="282">
        <f>3.9+0.48+0.03+0.36</f>
        <v>4.77</v>
      </c>
      <c r="H37" s="284">
        <f>G37+F37</f>
        <v>11.54</v>
      </c>
      <c r="I37" s="282">
        <f>F37*E37</f>
        <v>6401.71</v>
      </c>
      <c r="J37" s="282">
        <f>G37*E37</f>
        <v>4510.51</v>
      </c>
      <c r="K37" s="282">
        <f>I37+J37</f>
        <v>10912.22</v>
      </c>
      <c r="L37" s="338"/>
      <c r="M37" s="132"/>
      <c r="N37" s="201"/>
    </row>
    <row r="38" spans="1:14" s="129" customFormat="1" ht="25.5">
      <c r="A38" s="131" t="s">
        <v>494</v>
      </c>
      <c r="B38" s="142" t="s">
        <v>495</v>
      </c>
      <c r="C38" s="200" t="s">
        <v>496</v>
      </c>
      <c r="D38" s="335" t="s">
        <v>28</v>
      </c>
      <c r="E38" s="256">
        <f>5.06+5.6+6.48+3.25+3.25</f>
        <v>23.64</v>
      </c>
      <c r="F38" s="282">
        <f>74.63+132.42+38.36</f>
        <v>245.41</v>
      </c>
      <c r="G38" s="282">
        <f>0.2+1.02+26.88+41.94</f>
        <v>70.04</v>
      </c>
      <c r="H38" s="284">
        <f>G38+F38</f>
        <v>315.45</v>
      </c>
      <c r="I38" s="282">
        <f>F38*E38</f>
        <v>5801.49</v>
      </c>
      <c r="J38" s="282">
        <f>G38*E38</f>
        <v>1655.75</v>
      </c>
      <c r="K38" s="282">
        <f>I38+J38</f>
        <v>7457.24</v>
      </c>
      <c r="L38" s="338"/>
      <c r="M38" s="201"/>
      <c r="N38" s="134">
        <v>30</v>
      </c>
    </row>
    <row r="39" spans="1:15" s="129" customFormat="1" ht="12.75">
      <c r="A39" s="368"/>
      <c r="B39" s="368"/>
      <c r="C39" s="364" t="s">
        <v>185</v>
      </c>
      <c r="D39" s="368"/>
      <c r="E39" s="372"/>
      <c r="F39" s="286"/>
      <c r="G39" s="286"/>
      <c r="H39" s="291"/>
      <c r="I39" s="286"/>
      <c r="J39" s="286"/>
      <c r="K39" s="286"/>
      <c r="L39" s="369">
        <f>SUM(K36:K38)</f>
        <v>21362.54</v>
      </c>
      <c r="M39" s="367"/>
      <c r="N39" s="361"/>
      <c r="O39" s="361"/>
    </row>
    <row r="40" spans="1:15" s="367" customFormat="1" ht="12.75">
      <c r="A40" s="131"/>
      <c r="B40" s="131"/>
      <c r="C40" s="200"/>
      <c r="D40" s="131"/>
      <c r="E40" s="256"/>
      <c r="F40" s="282"/>
      <c r="G40" s="282"/>
      <c r="H40" s="284"/>
      <c r="I40" s="282"/>
      <c r="J40" s="282"/>
      <c r="K40" s="282"/>
      <c r="L40" s="226"/>
      <c r="M40" s="129"/>
      <c r="N40" s="365"/>
      <c r="O40" s="365"/>
    </row>
    <row r="41" spans="1:15" s="129" customFormat="1" ht="12.75">
      <c r="A41" s="179"/>
      <c r="B41" s="179"/>
      <c r="C41" s="180" t="s">
        <v>497</v>
      </c>
      <c r="D41" s="179"/>
      <c r="E41" s="260"/>
      <c r="F41" s="283"/>
      <c r="G41" s="283"/>
      <c r="H41" s="287"/>
      <c r="I41" s="288">
        <f>SUM(I36:I38)</f>
        <v>14224.04</v>
      </c>
      <c r="J41" s="288">
        <f>SUM(J36:J38)</f>
        <v>7138.5</v>
      </c>
      <c r="K41" s="283"/>
      <c r="L41" s="227">
        <f>SUM(L39)</f>
        <v>21362.54</v>
      </c>
      <c r="M41" s="377">
        <f>L41*$K$295+(L41)</f>
        <v>26226.79</v>
      </c>
      <c r="N41" s="132"/>
      <c r="O41" s="134"/>
    </row>
    <row r="42" spans="1:16" s="129" customFormat="1" ht="12.75">
      <c r="A42" s="142"/>
      <c r="B42" s="142"/>
      <c r="C42" s="157"/>
      <c r="D42" s="142"/>
      <c r="E42" s="263"/>
      <c r="F42" s="292"/>
      <c r="G42" s="333"/>
      <c r="H42" s="284"/>
      <c r="I42" s="292"/>
      <c r="J42" s="292"/>
      <c r="K42" s="292"/>
      <c r="L42" s="338"/>
      <c r="N42" s="132"/>
      <c r="O42" s="134"/>
      <c r="P42" s="248"/>
    </row>
    <row r="43" spans="1:15" s="129" customFormat="1" ht="12.75">
      <c r="A43" s="106">
        <v>4</v>
      </c>
      <c r="B43" s="106"/>
      <c r="C43" s="104" t="s">
        <v>129</v>
      </c>
      <c r="D43" s="131"/>
      <c r="E43" s="256"/>
      <c r="F43" s="282"/>
      <c r="G43" s="289"/>
      <c r="H43" s="284"/>
      <c r="I43" s="292"/>
      <c r="J43" s="282"/>
      <c r="K43" s="282"/>
      <c r="L43" s="149"/>
      <c r="N43" s="132"/>
      <c r="O43" s="134"/>
    </row>
    <row r="44" spans="1:15" s="129" customFormat="1" ht="12.75">
      <c r="A44" s="106" t="s">
        <v>75</v>
      </c>
      <c r="B44" s="106"/>
      <c r="C44" s="104" t="s">
        <v>130</v>
      </c>
      <c r="D44" s="131"/>
      <c r="E44" s="256"/>
      <c r="F44" s="282"/>
      <c r="G44" s="289"/>
      <c r="H44" s="284"/>
      <c r="I44" s="282"/>
      <c r="J44" s="282"/>
      <c r="K44" s="282"/>
      <c r="L44" s="133"/>
      <c r="N44" s="132"/>
      <c r="O44" s="134"/>
    </row>
    <row r="45" spans="1:15" s="129" customFormat="1" ht="12.75">
      <c r="A45" s="106" t="s">
        <v>76</v>
      </c>
      <c r="B45" s="106"/>
      <c r="C45" s="104" t="s">
        <v>498</v>
      </c>
      <c r="D45" s="131"/>
      <c r="E45" s="256"/>
      <c r="F45" s="282"/>
      <c r="G45" s="289"/>
      <c r="H45" s="284"/>
      <c r="I45" s="282"/>
      <c r="J45" s="282"/>
      <c r="K45" s="282"/>
      <c r="L45" s="133"/>
      <c r="N45" s="132">
        <v>31.99</v>
      </c>
      <c r="O45" s="134">
        <v>14.24</v>
      </c>
    </row>
    <row r="46" spans="1:17" s="235" customFormat="1" ht="38.25">
      <c r="A46" s="131" t="s">
        <v>499</v>
      </c>
      <c r="B46" s="131" t="s">
        <v>500</v>
      </c>
      <c r="C46" s="200" t="s">
        <v>501</v>
      </c>
      <c r="D46" s="131" t="s">
        <v>35</v>
      </c>
      <c r="E46" s="256">
        <f>16.68+5.25+1.82+12.58+12.15</f>
        <v>48.48</v>
      </c>
      <c r="F46" s="282">
        <f>0.34+1.93+35.37+6.56</f>
        <v>44.2</v>
      </c>
      <c r="G46" s="282">
        <f>22.89+8.45</f>
        <v>31.34</v>
      </c>
      <c r="H46" s="284">
        <f>G46+F46</f>
        <v>75.54</v>
      </c>
      <c r="I46" s="282">
        <f>F46*E46</f>
        <v>2142.82</v>
      </c>
      <c r="J46" s="282">
        <f>G46*E46</f>
        <v>1519.36</v>
      </c>
      <c r="K46" s="282">
        <f>I46+J46</f>
        <v>3662.18</v>
      </c>
      <c r="L46" s="133"/>
      <c r="M46" s="129"/>
      <c r="N46" s="233"/>
      <c r="O46" s="233"/>
      <c r="Q46" s="235">
        <f>0.45</f>
        <v>0.45</v>
      </c>
    </row>
    <row r="47" spans="1:17" s="235" customFormat="1" ht="25.5">
      <c r="A47" s="131" t="s">
        <v>502</v>
      </c>
      <c r="B47" s="131" t="s">
        <v>503</v>
      </c>
      <c r="C47" s="200" t="s">
        <v>504</v>
      </c>
      <c r="D47" s="335" t="s">
        <v>28</v>
      </c>
      <c r="E47" s="256">
        <f>E48*60</f>
        <v>136.8</v>
      </c>
      <c r="F47" s="282">
        <f>6.43+0.14</f>
        <v>6.57</v>
      </c>
      <c r="G47" s="282">
        <f>0.13+1.16</f>
        <v>1.29</v>
      </c>
      <c r="H47" s="284">
        <f>G47+F47</f>
        <v>7.86</v>
      </c>
      <c r="I47" s="282">
        <f>F47*E47</f>
        <v>898.78</v>
      </c>
      <c r="J47" s="282">
        <f>G47*E47</f>
        <v>176.47</v>
      </c>
      <c r="K47" s="282">
        <f>I47+J47</f>
        <v>1075.25</v>
      </c>
      <c r="L47" s="133"/>
      <c r="M47" s="129"/>
      <c r="N47" s="233"/>
      <c r="O47" s="233"/>
      <c r="Q47" s="235">
        <f>Q46*2</f>
        <v>0.9</v>
      </c>
    </row>
    <row r="48" spans="1:17" s="129" customFormat="1" ht="25.5">
      <c r="A48" s="131" t="s">
        <v>505</v>
      </c>
      <c r="B48" s="142" t="s">
        <v>495</v>
      </c>
      <c r="C48" s="200" t="s">
        <v>496</v>
      </c>
      <c r="D48" s="335" t="s">
        <v>28</v>
      </c>
      <c r="E48" s="256">
        <f>((12.87+4.64+1.7+16.9)*(0.14*0.19))*2+((4.5*0.14*0.19)*3)</f>
        <v>2.28</v>
      </c>
      <c r="F48" s="333">
        <f>74.63+132.42+38.36</f>
        <v>245.41</v>
      </c>
      <c r="G48" s="333">
        <f>0.2+1.02+26.88+41.94</f>
        <v>70.04</v>
      </c>
      <c r="H48" s="284">
        <f>G48+F48</f>
        <v>315.45</v>
      </c>
      <c r="I48" s="282">
        <f>F48*E48</f>
        <v>559.53</v>
      </c>
      <c r="J48" s="282">
        <f>G48*E48</f>
        <v>159.69</v>
      </c>
      <c r="K48" s="282">
        <f>I48+J48</f>
        <v>719.22</v>
      </c>
      <c r="L48" s="133"/>
      <c r="M48" s="201"/>
      <c r="N48" s="134">
        <v>30</v>
      </c>
      <c r="Q48" s="129">
        <f>Q46*3</f>
        <v>1.35</v>
      </c>
    </row>
    <row r="49" spans="1:17" s="129" customFormat="1" ht="15" customHeight="1">
      <c r="A49" s="236"/>
      <c r="B49" s="236"/>
      <c r="C49" s="232" t="s">
        <v>185</v>
      </c>
      <c r="D49" s="236"/>
      <c r="E49" s="261"/>
      <c r="F49" s="286"/>
      <c r="G49" s="286"/>
      <c r="H49" s="291"/>
      <c r="I49" s="286"/>
      <c r="J49" s="286"/>
      <c r="K49" s="286"/>
      <c r="L49" s="234">
        <f>SUM(K46:K48)</f>
        <v>5456.65</v>
      </c>
      <c r="M49" s="235"/>
      <c r="N49" s="132"/>
      <c r="O49" s="134"/>
      <c r="Q49" s="129">
        <f>Q46*4</f>
        <v>1.8</v>
      </c>
    </row>
    <row r="50" spans="1:17" s="129" customFormat="1" ht="12.75">
      <c r="A50" s="106" t="s">
        <v>76</v>
      </c>
      <c r="B50" s="106"/>
      <c r="C50" s="104" t="s">
        <v>537</v>
      </c>
      <c r="D50" s="131"/>
      <c r="E50" s="256"/>
      <c r="F50" s="282"/>
      <c r="G50" s="289"/>
      <c r="H50" s="284"/>
      <c r="I50" s="282"/>
      <c r="J50" s="282"/>
      <c r="K50" s="282"/>
      <c r="L50" s="133"/>
      <c r="N50" s="132"/>
      <c r="O50" s="134"/>
      <c r="Q50" s="129">
        <f>Q46*5</f>
        <v>2.25</v>
      </c>
    </row>
    <row r="51" spans="1:17" s="1" customFormat="1" ht="12.75">
      <c r="A51" s="108" t="s">
        <v>77</v>
      </c>
      <c r="B51" s="252"/>
      <c r="C51" s="104" t="s">
        <v>538</v>
      </c>
      <c r="D51" s="123"/>
      <c r="E51" s="264"/>
      <c r="F51" s="293"/>
      <c r="G51" s="294"/>
      <c r="H51" s="294"/>
      <c r="I51" s="293"/>
      <c r="J51" s="293"/>
      <c r="K51" s="293"/>
      <c r="L51" s="125"/>
      <c r="N51" s="114">
        <v>214.31</v>
      </c>
      <c r="O51" s="124">
        <v>37.56</v>
      </c>
      <c r="Q51" s="1">
        <f>Q46*6</f>
        <v>2.7</v>
      </c>
    </row>
    <row r="52" spans="1:17" s="235" customFormat="1" ht="25.5">
      <c r="A52" s="203" t="s">
        <v>78</v>
      </c>
      <c r="B52" s="253" t="s">
        <v>296</v>
      </c>
      <c r="C52" s="200" t="s">
        <v>529</v>
      </c>
      <c r="D52" s="123" t="s">
        <v>35</v>
      </c>
      <c r="E52" s="264">
        <f>65.1*1.1</f>
        <v>71.61</v>
      </c>
      <c r="F52" s="282">
        <f>332.08+1.63</f>
        <v>333.71</v>
      </c>
      <c r="G52" s="282">
        <f>79.39+33.48+1.26</f>
        <v>114.13</v>
      </c>
      <c r="H52" s="284">
        <f>G52+F52</f>
        <v>447.84</v>
      </c>
      <c r="I52" s="282">
        <f>F52*E52</f>
        <v>23896.97</v>
      </c>
      <c r="J52" s="282">
        <f>G52*E52</f>
        <v>8172.85</v>
      </c>
      <c r="K52" s="282">
        <f>I52+J52</f>
        <v>32069.82</v>
      </c>
      <c r="L52" s="125"/>
      <c r="M52" s="1"/>
      <c r="N52" s="233"/>
      <c r="O52" s="233"/>
      <c r="Q52" s="235">
        <f>Q46*7</f>
        <v>3.15</v>
      </c>
    </row>
    <row r="53" spans="1:17" s="129" customFormat="1" ht="12.75">
      <c r="A53" s="236"/>
      <c r="B53" s="236"/>
      <c r="C53" s="232" t="s">
        <v>185</v>
      </c>
      <c r="D53" s="236"/>
      <c r="E53" s="261"/>
      <c r="F53" s="286"/>
      <c r="G53" s="286"/>
      <c r="H53" s="291"/>
      <c r="I53" s="286"/>
      <c r="J53" s="286"/>
      <c r="K53" s="286"/>
      <c r="L53" s="234">
        <f>K52</f>
        <v>32069.82</v>
      </c>
      <c r="M53" s="235"/>
      <c r="N53" s="132"/>
      <c r="O53" s="134"/>
      <c r="Q53" s="129">
        <v>3.15</v>
      </c>
    </row>
    <row r="54" spans="1:17" s="129" customFormat="1" ht="12.75">
      <c r="A54" s="106" t="s">
        <v>79</v>
      </c>
      <c r="B54" s="106"/>
      <c r="C54" s="104" t="s">
        <v>540</v>
      </c>
      <c r="D54" s="131"/>
      <c r="E54" s="256"/>
      <c r="F54" s="282"/>
      <c r="G54" s="289"/>
      <c r="H54" s="284"/>
      <c r="I54" s="282"/>
      <c r="J54" s="282"/>
      <c r="K54" s="282"/>
      <c r="L54" s="133"/>
      <c r="N54" s="132"/>
      <c r="O54" s="134"/>
      <c r="Q54" s="129">
        <f>$Q$46</f>
        <v>0.45</v>
      </c>
    </row>
    <row r="55" spans="1:17" s="129" customFormat="1" ht="12.75">
      <c r="A55" s="121" t="s">
        <v>80</v>
      </c>
      <c r="B55" s="121"/>
      <c r="C55" s="122" t="s">
        <v>541</v>
      </c>
      <c r="D55" s="139"/>
      <c r="E55" s="262"/>
      <c r="F55" s="282"/>
      <c r="G55" s="289"/>
      <c r="H55" s="284"/>
      <c r="I55" s="282"/>
      <c r="J55" s="282"/>
      <c r="K55" s="282"/>
      <c r="L55" s="120"/>
      <c r="M55" s="119"/>
      <c r="N55" s="132">
        <v>418.47</v>
      </c>
      <c r="O55" s="134">
        <v>39.91</v>
      </c>
      <c r="Q55" s="345">
        <f>$Q$54*5</f>
        <v>2.25</v>
      </c>
    </row>
    <row r="56" spans="1:17" s="129" customFormat="1" ht="25.5">
      <c r="A56" s="131" t="s">
        <v>81</v>
      </c>
      <c r="B56" s="131" t="s">
        <v>292</v>
      </c>
      <c r="C56" s="202" t="s">
        <v>293</v>
      </c>
      <c r="D56" s="131" t="s">
        <v>35</v>
      </c>
      <c r="E56" s="262">
        <f>(2*0.5)*8</f>
        <v>8</v>
      </c>
      <c r="F56" s="282">
        <f>477.45+0.65+5.84</f>
        <v>483.94</v>
      </c>
      <c r="G56" s="282">
        <f>19.25+6.98</f>
        <v>26.23</v>
      </c>
      <c r="H56" s="284">
        <f>G56+F56</f>
        <v>510.17</v>
      </c>
      <c r="I56" s="282">
        <f>F56*E56</f>
        <v>3871.52</v>
      </c>
      <c r="J56" s="282">
        <f>G56*E56</f>
        <v>209.84</v>
      </c>
      <c r="K56" s="282">
        <f>I56+J56</f>
        <v>4081.36</v>
      </c>
      <c r="L56" s="137"/>
      <c r="N56" s="132"/>
      <c r="O56" s="134"/>
      <c r="Q56" s="345">
        <f>$Q$54*6</f>
        <v>2.7</v>
      </c>
    </row>
    <row r="57" spans="1:17" s="129" customFormat="1" ht="25.5">
      <c r="A57" s="131" t="s">
        <v>539</v>
      </c>
      <c r="B57" s="131" t="s">
        <v>294</v>
      </c>
      <c r="C57" s="202" t="s">
        <v>295</v>
      </c>
      <c r="D57" s="131" t="s">
        <v>35</v>
      </c>
      <c r="E57" s="262">
        <f>(0.9*2.1*2)+(1*2.15*2)+(0.8*2.1*1)+(0.7*2.1*1)+(0.8*2.1*5)+(0.7*2.1*8)+(0.98*2.14*3)</f>
        <v>37.68</v>
      </c>
      <c r="F57" s="282">
        <f>21.8+2.93+44.18+315.87</f>
        <v>384.78</v>
      </c>
      <c r="G57" s="282">
        <f>8.58+3.16</f>
        <v>11.74</v>
      </c>
      <c r="H57" s="284">
        <f>G57+F57</f>
        <v>396.52</v>
      </c>
      <c r="I57" s="282">
        <f>F57*E57</f>
        <v>14498.51</v>
      </c>
      <c r="J57" s="282">
        <f>G57*E57</f>
        <v>442.36</v>
      </c>
      <c r="K57" s="282">
        <f>I57+J57</f>
        <v>14940.87</v>
      </c>
      <c r="L57" s="137"/>
      <c r="N57" s="132"/>
      <c r="O57" s="134"/>
      <c r="Q57" s="345">
        <f>$Q$54*7</f>
        <v>3.15</v>
      </c>
    </row>
    <row r="58" spans="1:15" s="129" customFormat="1" ht="12.75">
      <c r="A58" s="349"/>
      <c r="B58" s="349"/>
      <c r="C58" s="346" t="s">
        <v>185</v>
      </c>
      <c r="D58" s="349"/>
      <c r="E58" s="265"/>
      <c r="F58" s="286"/>
      <c r="G58" s="286"/>
      <c r="H58" s="295"/>
      <c r="I58" s="296"/>
      <c r="J58" s="296"/>
      <c r="K58" s="296"/>
      <c r="L58" s="347">
        <f>SUM(K56:K57)</f>
        <v>19022.23</v>
      </c>
      <c r="M58" s="348"/>
      <c r="N58" s="132"/>
      <c r="O58" s="344"/>
    </row>
    <row r="59" spans="1:17" s="129" customFormat="1" ht="12.75">
      <c r="A59" s="106" t="s">
        <v>82</v>
      </c>
      <c r="B59" s="106"/>
      <c r="C59" s="104" t="s">
        <v>542</v>
      </c>
      <c r="D59" s="131"/>
      <c r="E59" s="256"/>
      <c r="F59" s="282"/>
      <c r="G59" s="289"/>
      <c r="H59" s="284"/>
      <c r="I59" s="282"/>
      <c r="J59" s="282"/>
      <c r="K59" s="282"/>
      <c r="L59" s="133"/>
      <c r="N59" s="132">
        <v>226.54</v>
      </c>
      <c r="O59" s="134">
        <v>49.11</v>
      </c>
      <c r="Q59" s="345">
        <f>$Q$54*8</f>
        <v>3.6</v>
      </c>
    </row>
    <row r="60" spans="1:17" s="129" customFormat="1" ht="38.25">
      <c r="A60" s="131" t="s">
        <v>195</v>
      </c>
      <c r="B60" s="131" t="s">
        <v>506</v>
      </c>
      <c r="C60" s="202" t="s">
        <v>604</v>
      </c>
      <c r="D60" s="138" t="s">
        <v>63</v>
      </c>
      <c r="E60" s="262">
        <f>19.1+16.99</f>
        <v>36.09</v>
      </c>
      <c r="F60" s="282">
        <v>143.11</v>
      </c>
      <c r="G60" s="282">
        <v>215.34</v>
      </c>
      <c r="H60" s="284">
        <f>G60+F60</f>
        <v>358.45</v>
      </c>
      <c r="I60" s="282">
        <f>F60*E60</f>
        <v>5164.84</v>
      </c>
      <c r="J60" s="282">
        <f>G60*E60</f>
        <v>7771.62</v>
      </c>
      <c r="K60" s="282">
        <f>I60+J60</f>
        <v>12936.46</v>
      </c>
      <c r="L60" s="137"/>
      <c r="N60" s="132">
        <v>95.09</v>
      </c>
      <c r="O60" s="134">
        <v>45.81</v>
      </c>
      <c r="Q60" s="345" t="e">
        <f>#REF!*0.2</f>
        <v>#REF!</v>
      </c>
    </row>
    <row r="61" spans="1:15" s="129" customFormat="1" ht="12.75">
      <c r="A61" s="131" t="s">
        <v>196</v>
      </c>
      <c r="B61" s="131" t="s">
        <v>514</v>
      </c>
      <c r="C61" s="202" t="s">
        <v>515</v>
      </c>
      <c r="D61" s="139" t="s">
        <v>63</v>
      </c>
      <c r="E61" s="262">
        <f>1.82+1.98</f>
        <v>3.8</v>
      </c>
      <c r="F61" s="282">
        <f>300</f>
        <v>300</v>
      </c>
      <c r="G61" s="282">
        <f>3.71+8.03+11.35</f>
        <v>23.09</v>
      </c>
      <c r="H61" s="284">
        <f>G61+F61</f>
        <v>323.09</v>
      </c>
      <c r="I61" s="282">
        <f>F61*E61</f>
        <v>1140</v>
      </c>
      <c r="J61" s="282">
        <f>G61*E61</f>
        <v>87.74</v>
      </c>
      <c r="K61" s="282">
        <f>I61+J61</f>
        <v>1227.74</v>
      </c>
      <c r="L61" s="137"/>
      <c r="N61" s="132"/>
      <c r="O61" s="134"/>
    </row>
    <row r="62" spans="1:15" s="129" customFormat="1" ht="12.75">
      <c r="A62" s="236"/>
      <c r="B62" s="236"/>
      <c r="C62" s="232" t="s">
        <v>185</v>
      </c>
      <c r="D62" s="236"/>
      <c r="E62" s="265"/>
      <c r="F62" s="286"/>
      <c r="G62" s="286"/>
      <c r="H62" s="295"/>
      <c r="I62" s="296"/>
      <c r="J62" s="296"/>
      <c r="K62" s="296"/>
      <c r="L62" s="234">
        <f>SUM(K60:K61)</f>
        <v>14164.2</v>
      </c>
      <c r="M62" s="235"/>
      <c r="N62" s="132"/>
      <c r="O62" s="134"/>
    </row>
    <row r="63" spans="1:15" s="129" customFormat="1" ht="12.75">
      <c r="A63" s="106" t="s">
        <v>83</v>
      </c>
      <c r="B63" s="106"/>
      <c r="C63" s="104" t="s">
        <v>543</v>
      </c>
      <c r="D63" s="131"/>
      <c r="E63" s="256"/>
      <c r="F63" s="282"/>
      <c r="G63" s="289"/>
      <c r="H63" s="284"/>
      <c r="I63" s="282"/>
      <c r="J63" s="282"/>
      <c r="K63" s="282"/>
      <c r="L63" s="133"/>
      <c r="N63" s="132"/>
      <c r="O63" s="134"/>
    </row>
    <row r="64" spans="1:15" s="129" customFormat="1" ht="12.75">
      <c r="A64" s="106" t="s">
        <v>84</v>
      </c>
      <c r="B64" s="106"/>
      <c r="C64" s="104" t="s">
        <v>544</v>
      </c>
      <c r="D64" s="131"/>
      <c r="E64" s="256"/>
      <c r="F64" s="282"/>
      <c r="G64" s="289"/>
      <c r="H64" s="284"/>
      <c r="I64" s="282"/>
      <c r="J64" s="282"/>
      <c r="K64" s="282"/>
      <c r="L64" s="133"/>
      <c r="N64" s="132"/>
      <c r="O64" s="134"/>
    </row>
    <row r="65" spans="1:15" s="129" customFormat="1" ht="12.75">
      <c r="A65" s="106" t="s">
        <v>85</v>
      </c>
      <c r="B65" s="106"/>
      <c r="C65" s="104" t="s">
        <v>545</v>
      </c>
      <c r="D65" s="131"/>
      <c r="E65" s="256"/>
      <c r="F65" s="282"/>
      <c r="G65" s="289"/>
      <c r="H65" s="284"/>
      <c r="I65" s="282"/>
      <c r="J65" s="282"/>
      <c r="K65" s="282"/>
      <c r="L65" s="133"/>
      <c r="N65" s="132">
        <v>1.34</v>
      </c>
      <c r="O65" s="134">
        <v>0.3</v>
      </c>
    </row>
    <row r="66" spans="1:15" s="129" customFormat="1" ht="25.5">
      <c r="A66" s="142" t="s">
        <v>605</v>
      </c>
      <c r="B66" s="142" t="s">
        <v>277</v>
      </c>
      <c r="C66" s="205" t="s">
        <v>278</v>
      </c>
      <c r="D66" s="131" t="s">
        <v>35</v>
      </c>
      <c r="E66" s="256">
        <f>E72</f>
        <v>105.66</v>
      </c>
      <c r="F66" s="282">
        <f>62.81</f>
        <v>62.81</v>
      </c>
      <c r="G66" s="282">
        <f>0.06+20.9</f>
        <v>20.96</v>
      </c>
      <c r="H66" s="284">
        <f>G66+F66</f>
        <v>83.77</v>
      </c>
      <c r="I66" s="282">
        <f>F66*E66</f>
        <v>6636.5</v>
      </c>
      <c r="J66" s="282">
        <f>G66*E66</f>
        <v>2214.63</v>
      </c>
      <c r="K66" s="282">
        <f>I66+J66</f>
        <v>8851.13</v>
      </c>
      <c r="L66" s="133"/>
      <c r="N66" s="132">
        <v>0.71</v>
      </c>
      <c r="O66" s="344">
        <v>0.16</v>
      </c>
    </row>
    <row r="67" spans="1:15" s="129" customFormat="1" ht="12.75">
      <c r="A67" s="236"/>
      <c r="B67" s="236"/>
      <c r="C67" s="232" t="s">
        <v>185</v>
      </c>
      <c r="D67" s="236"/>
      <c r="E67" s="261"/>
      <c r="F67" s="286"/>
      <c r="G67" s="286"/>
      <c r="H67" s="291"/>
      <c r="I67" s="286"/>
      <c r="J67" s="286"/>
      <c r="K67" s="286"/>
      <c r="L67" s="234">
        <f>SUM(K66:K66)</f>
        <v>8851.13</v>
      </c>
      <c r="M67" s="235"/>
      <c r="N67" s="132"/>
      <c r="O67" s="134"/>
    </row>
    <row r="68" spans="1:15" s="129" customFormat="1" ht="12.75">
      <c r="A68" s="106" t="s">
        <v>606</v>
      </c>
      <c r="B68" s="106"/>
      <c r="C68" s="104" t="s">
        <v>546</v>
      </c>
      <c r="D68" s="131"/>
      <c r="E68" s="256"/>
      <c r="F68" s="282"/>
      <c r="G68" s="289"/>
      <c r="H68" s="284"/>
      <c r="I68" s="282"/>
      <c r="J68" s="282"/>
      <c r="K68" s="282"/>
      <c r="L68" s="133"/>
      <c r="N68" s="132">
        <v>7.61</v>
      </c>
      <c r="O68" s="134">
        <v>5.19</v>
      </c>
    </row>
    <row r="69" spans="1:15" s="129" customFormat="1" ht="25.5">
      <c r="A69" s="142" t="s">
        <v>607</v>
      </c>
      <c r="B69" s="142" t="s">
        <v>279</v>
      </c>
      <c r="C69" s="205" t="s">
        <v>280</v>
      </c>
      <c r="D69" s="131" t="s">
        <v>35</v>
      </c>
      <c r="E69" s="256">
        <f>E66</f>
        <v>105.66</v>
      </c>
      <c r="F69" s="282">
        <f>21.79</f>
        <v>21.79</v>
      </c>
      <c r="G69" s="282">
        <f>19.72</f>
        <v>19.72</v>
      </c>
      <c r="H69" s="284">
        <f>G69+F69</f>
        <v>41.51</v>
      </c>
      <c r="I69" s="282">
        <f>F69*E69</f>
        <v>2302.33</v>
      </c>
      <c r="J69" s="282">
        <f>G69*E69</f>
        <v>2083.62</v>
      </c>
      <c r="K69" s="282">
        <f>I69+J69</f>
        <v>4385.95</v>
      </c>
      <c r="L69" s="133"/>
      <c r="N69" s="132"/>
      <c r="O69" s="344"/>
    </row>
    <row r="70" spans="1:15" s="129" customFormat="1" ht="12.75">
      <c r="A70" s="232"/>
      <c r="B70" s="232"/>
      <c r="C70" s="232" t="s">
        <v>185</v>
      </c>
      <c r="D70" s="236"/>
      <c r="E70" s="261"/>
      <c r="F70" s="286"/>
      <c r="G70" s="286"/>
      <c r="H70" s="291"/>
      <c r="I70" s="286"/>
      <c r="J70" s="286"/>
      <c r="K70" s="286"/>
      <c r="L70" s="234">
        <f>SUM(K69:K69)</f>
        <v>4385.95</v>
      </c>
      <c r="M70" s="235"/>
      <c r="N70" s="132"/>
      <c r="O70" s="134"/>
    </row>
    <row r="71" spans="1:15" s="129" customFormat="1" ht="12.75">
      <c r="A71" s="106" t="s">
        <v>608</v>
      </c>
      <c r="B71" s="106"/>
      <c r="C71" s="104" t="s">
        <v>547</v>
      </c>
      <c r="D71" s="131"/>
      <c r="E71" s="256"/>
      <c r="F71" s="282"/>
      <c r="G71" s="289"/>
      <c r="H71" s="284"/>
      <c r="I71" s="282"/>
      <c r="J71" s="282"/>
      <c r="K71" s="282"/>
      <c r="L71" s="133"/>
      <c r="N71" s="132">
        <v>29.7</v>
      </c>
      <c r="O71" s="134">
        <v>18.3</v>
      </c>
    </row>
    <row r="72" spans="1:15" s="129" customFormat="1" ht="12.75">
      <c r="A72" s="142" t="s">
        <v>609</v>
      </c>
      <c r="B72" s="142" t="s">
        <v>512</v>
      </c>
      <c r="C72" s="205" t="s">
        <v>513</v>
      </c>
      <c r="D72" s="131" t="s">
        <v>35</v>
      </c>
      <c r="E72" s="256">
        <v>105.66</v>
      </c>
      <c r="F72" s="282">
        <f>104.41+1.42+4.46</f>
        <v>110.29</v>
      </c>
      <c r="G72" s="282">
        <f>4.77+5.49</f>
        <v>10.26</v>
      </c>
      <c r="H72" s="284">
        <f>G72+F72</f>
        <v>120.55</v>
      </c>
      <c r="I72" s="282">
        <f>F72*E72</f>
        <v>11653.24</v>
      </c>
      <c r="J72" s="282">
        <f>G72*E72</f>
        <v>1084.07</v>
      </c>
      <c r="K72" s="282">
        <f>I72+J72</f>
        <v>12737.31</v>
      </c>
      <c r="L72" s="133"/>
      <c r="N72" s="132">
        <v>68</v>
      </c>
      <c r="O72" s="344">
        <v>32</v>
      </c>
    </row>
    <row r="73" spans="1:15" s="129" customFormat="1" ht="12.75">
      <c r="A73" s="238"/>
      <c r="B73" s="238"/>
      <c r="C73" s="232" t="s">
        <v>185</v>
      </c>
      <c r="D73" s="238"/>
      <c r="E73" s="266"/>
      <c r="F73" s="297"/>
      <c r="G73" s="297"/>
      <c r="H73" s="297"/>
      <c r="I73" s="297"/>
      <c r="J73" s="297"/>
      <c r="K73" s="297"/>
      <c r="L73" s="239">
        <f>SUM(K72:K72)</f>
        <v>12737.31</v>
      </c>
      <c r="M73" s="240"/>
      <c r="N73" s="132"/>
      <c r="O73" s="134"/>
    </row>
    <row r="74" spans="1:15" s="129" customFormat="1" ht="12.75">
      <c r="A74" s="106" t="s">
        <v>610</v>
      </c>
      <c r="B74" s="106"/>
      <c r="C74" s="104" t="s">
        <v>548</v>
      </c>
      <c r="D74" s="131"/>
      <c r="E74" s="256"/>
      <c r="F74" s="282"/>
      <c r="G74" s="289"/>
      <c r="H74" s="284"/>
      <c r="I74" s="282"/>
      <c r="J74" s="282"/>
      <c r="K74" s="282"/>
      <c r="L74" s="133"/>
      <c r="N74" s="132">
        <v>1.58</v>
      </c>
      <c r="O74" s="134">
        <v>1.5</v>
      </c>
    </row>
    <row r="75" spans="1:15" s="235" customFormat="1" ht="25.5">
      <c r="A75" s="131" t="s">
        <v>611</v>
      </c>
      <c r="B75" s="131" t="s">
        <v>285</v>
      </c>
      <c r="C75" s="200" t="s">
        <v>286</v>
      </c>
      <c r="D75" s="131" t="s">
        <v>35</v>
      </c>
      <c r="E75" s="256">
        <f>(16.68+5.25+1.82+12.58+12.15)*2</f>
        <v>96.96</v>
      </c>
      <c r="F75" s="282">
        <f>1.66</f>
        <v>1.66</v>
      </c>
      <c r="G75" s="282">
        <f>1.48</f>
        <v>1.48</v>
      </c>
      <c r="H75" s="284">
        <f>G75+F75</f>
        <v>3.14</v>
      </c>
      <c r="I75" s="282">
        <f>F75*E75</f>
        <v>160.95</v>
      </c>
      <c r="J75" s="282">
        <f>G75*E75</f>
        <v>143.5</v>
      </c>
      <c r="K75" s="282">
        <f>I75+J75</f>
        <v>304.45</v>
      </c>
      <c r="L75" s="133"/>
      <c r="M75" s="129"/>
      <c r="N75" s="233"/>
      <c r="O75" s="233"/>
    </row>
    <row r="76" spans="1:15" s="129" customFormat="1" ht="12.75">
      <c r="A76" s="236"/>
      <c r="B76" s="236"/>
      <c r="C76" s="232" t="s">
        <v>185</v>
      </c>
      <c r="D76" s="236"/>
      <c r="E76" s="261"/>
      <c r="F76" s="286"/>
      <c r="G76" s="286"/>
      <c r="H76" s="291"/>
      <c r="I76" s="286"/>
      <c r="J76" s="286"/>
      <c r="K76" s="286"/>
      <c r="L76" s="234">
        <f>SUM(K75)</f>
        <v>304.45</v>
      </c>
      <c r="M76" s="235"/>
      <c r="N76" s="132"/>
      <c r="O76" s="134"/>
    </row>
    <row r="77" spans="1:15" s="1" customFormat="1" ht="12.75">
      <c r="A77" s="106" t="s">
        <v>612</v>
      </c>
      <c r="B77" s="106"/>
      <c r="C77" s="104" t="s">
        <v>549</v>
      </c>
      <c r="D77" s="131"/>
      <c r="E77" s="256"/>
      <c r="F77" s="282"/>
      <c r="G77" s="289"/>
      <c r="H77" s="284"/>
      <c r="I77" s="282"/>
      <c r="J77" s="282"/>
      <c r="K77" s="282"/>
      <c r="L77" s="133"/>
      <c r="M77" s="129"/>
      <c r="N77" s="114">
        <v>15.4</v>
      </c>
      <c r="O77" s="124">
        <v>14.24</v>
      </c>
    </row>
    <row r="78" spans="1:15" s="235" customFormat="1" ht="12.75">
      <c r="A78" s="156" t="s">
        <v>613</v>
      </c>
      <c r="B78" s="156" t="s">
        <v>276</v>
      </c>
      <c r="C78" s="200" t="s">
        <v>287</v>
      </c>
      <c r="D78" s="123" t="s">
        <v>35</v>
      </c>
      <c r="E78" s="267">
        <v>210.73</v>
      </c>
      <c r="F78" s="282">
        <f>11.34+19.69+5.81</f>
        <v>36.84</v>
      </c>
      <c r="G78" s="282">
        <f>8.38+2.94+12.88</f>
        <v>24.2</v>
      </c>
      <c r="H78" s="294">
        <f>G78+F78</f>
        <v>61.04</v>
      </c>
      <c r="I78" s="293">
        <f>F78*E78</f>
        <v>7763.29</v>
      </c>
      <c r="J78" s="293">
        <f>G78*E78</f>
        <v>5099.67</v>
      </c>
      <c r="K78" s="293">
        <f>I78+J78</f>
        <v>12862.96</v>
      </c>
      <c r="L78" s="125"/>
      <c r="M78" s="1"/>
      <c r="N78" s="233"/>
      <c r="O78" s="233"/>
    </row>
    <row r="79" spans="1:15" s="129" customFormat="1" ht="12.75">
      <c r="A79" s="236"/>
      <c r="B79" s="236"/>
      <c r="C79" s="232" t="s">
        <v>185</v>
      </c>
      <c r="D79" s="236"/>
      <c r="E79" s="261"/>
      <c r="F79" s="286"/>
      <c r="G79" s="286"/>
      <c r="H79" s="291"/>
      <c r="I79" s="286"/>
      <c r="J79" s="286"/>
      <c r="K79" s="286"/>
      <c r="L79" s="234">
        <f>SUM(K78:K78)</f>
        <v>12862.96</v>
      </c>
      <c r="M79" s="235"/>
      <c r="N79" s="132"/>
      <c r="O79" s="134"/>
    </row>
    <row r="80" spans="1:15" s="129" customFormat="1" ht="12.75">
      <c r="A80" s="107" t="s">
        <v>614</v>
      </c>
      <c r="B80" s="107"/>
      <c r="C80" s="105" t="s">
        <v>526</v>
      </c>
      <c r="D80" s="131"/>
      <c r="E80" s="256"/>
      <c r="F80" s="282"/>
      <c r="G80" s="289"/>
      <c r="H80" s="284"/>
      <c r="I80" s="282"/>
      <c r="J80" s="282"/>
      <c r="K80" s="282"/>
      <c r="L80" s="133"/>
      <c r="N80" s="132">
        <v>48</v>
      </c>
      <c r="O80" s="134">
        <v>7.6</v>
      </c>
    </row>
    <row r="81" spans="1:15" s="129" customFormat="1" ht="12.75">
      <c r="A81" s="139" t="s">
        <v>616</v>
      </c>
      <c r="B81" s="139" t="s">
        <v>527</v>
      </c>
      <c r="C81" s="204" t="s">
        <v>528</v>
      </c>
      <c r="D81" s="131" t="s">
        <v>35</v>
      </c>
      <c r="E81" s="256">
        <f>E72</f>
        <v>105.66</v>
      </c>
      <c r="F81" s="282">
        <v>46.32</v>
      </c>
      <c r="G81" s="282">
        <f>6.01+6.22</f>
        <v>12.23</v>
      </c>
      <c r="H81" s="284">
        <f>G81+F81</f>
        <v>58.55</v>
      </c>
      <c r="I81" s="282">
        <f>F81*E81</f>
        <v>4894.17</v>
      </c>
      <c r="J81" s="282">
        <f>G81*E81</f>
        <v>1292.22</v>
      </c>
      <c r="K81" s="282">
        <f>I81+J81</f>
        <v>6186.39</v>
      </c>
      <c r="L81" s="133"/>
      <c r="N81" s="132">
        <v>8.51</v>
      </c>
      <c r="O81" s="134">
        <v>6.6</v>
      </c>
    </row>
    <row r="82" spans="1:15" s="129" customFormat="1" ht="12.75">
      <c r="A82" s="236"/>
      <c r="B82" s="236"/>
      <c r="C82" s="232" t="s">
        <v>185</v>
      </c>
      <c r="D82" s="236"/>
      <c r="E82" s="261"/>
      <c r="F82" s="286"/>
      <c r="G82" s="286"/>
      <c r="H82" s="291"/>
      <c r="I82" s="286"/>
      <c r="J82" s="286"/>
      <c r="K82" s="286"/>
      <c r="L82" s="234">
        <f>SUM(K81:K81)</f>
        <v>6186.39</v>
      </c>
      <c r="M82" s="235"/>
      <c r="N82" s="132"/>
      <c r="O82" s="134"/>
    </row>
    <row r="83" spans="1:15" s="129" customFormat="1" ht="12.75">
      <c r="A83" s="106" t="s">
        <v>615</v>
      </c>
      <c r="B83" s="106"/>
      <c r="C83" s="104" t="s">
        <v>550</v>
      </c>
      <c r="D83" s="131"/>
      <c r="E83" s="256"/>
      <c r="F83" s="282"/>
      <c r="G83" s="289"/>
      <c r="H83" s="284"/>
      <c r="I83" s="282"/>
      <c r="J83" s="282"/>
      <c r="K83" s="282"/>
      <c r="L83" s="133"/>
      <c r="N83" s="132">
        <v>3.19</v>
      </c>
      <c r="O83" s="134">
        <v>5.92</v>
      </c>
    </row>
    <row r="84" spans="1:15" s="129" customFormat="1" ht="12.75">
      <c r="A84" s="131" t="s">
        <v>617</v>
      </c>
      <c r="B84" s="131" t="s">
        <v>290</v>
      </c>
      <c r="C84" s="200" t="s">
        <v>291</v>
      </c>
      <c r="D84" s="131" t="s">
        <v>35</v>
      </c>
      <c r="E84" s="256">
        <f>105.66</f>
        <v>105.66</v>
      </c>
      <c r="F84" s="282">
        <f>9.7</f>
        <v>9.7</v>
      </c>
      <c r="G84" s="282">
        <f>13.83</f>
        <v>13.83</v>
      </c>
      <c r="H84" s="284">
        <f>G84+F84</f>
        <v>23.53</v>
      </c>
      <c r="I84" s="282">
        <f>F84*E84</f>
        <v>1024.9</v>
      </c>
      <c r="J84" s="282">
        <f>G84*E84</f>
        <v>1461.28</v>
      </c>
      <c r="K84" s="282">
        <f>I84+J84</f>
        <v>2486.18</v>
      </c>
      <c r="L84" s="133"/>
      <c r="N84" s="132">
        <v>3.35</v>
      </c>
      <c r="O84" s="134">
        <v>6.5</v>
      </c>
    </row>
    <row r="85" spans="1:15" s="129" customFormat="1" ht="12.75">
      <c r="A85" s="131" t="s">
        <v>618</v>
      </c>
      <c r="B85" s="131" t="s">
        <v>288</v>
      </c>
      <c r="C85" s="200" t="s">
        <v>289</v>
      </c>
      <c r="D85" s="131" t="s">
        <v>35</v>
      </c>
      <c r="E85" s="256">
        <f>E84</f>
        <v>105.66</v>
      </c>
      <c r="F85" s="282">
        <f>9.04</f>
        <v>9.04</v>
      </c>
      <c r="G85" s="282">
        <f>5.01</f>
        <v>5.01</v>
      </c>
      <c r="H85" s="284">
        <f>G85+F85</f>
        <v>14.05</v>
      </c>
      <c r="I85" s="282">
        <f>F85*E85</f>
        <v>955.17</v>
      </c>
      <c r="J85" s="282">
        <f>G85*E85</f>
        <v>529.36</v>
      </c>
      <c r="K85" s="282">
        <f>I85+J85</f>
        <v>1484.53</v>
      </c>
      <c r="L85" s="133"/>
      <c r="N85" s="132">
        <v>4.76</v>
      </c>
      <c r="O85" s="134">
        <v>3.25</v>
      </c>
    </row>
    <row r="86" spans="1:15" s="129" customFormat="1" ht="12.75">
      <c r="A86" s="236"/>
      <c r="B86" s="236"/>
      <c r="C86" s="232" t="s">
        <v>185</v>
      </c>
      <c r="D86" s="236"/>
      <c r="E86" s="261"/>
      <c r="F86" s="286"/>
      <c r="G86" s="286"/>
      <c r="H86" s="291"/>
      <c r="I86" s="286"/>
      <c r="J86" s="286"/>
      <c r="K86" s="286"/>
      <c r="L86" s="234">
        <f>SUM(K84:K85)</f>
        <v>3970.71</v>
      </c>
      <c r="M86" s="235"/>
      <c r="N86" s="132"/>
      <c r="O86" s="134"/>
    </row>
    <row r="87" spans="1:15" s="129" customFormat="1" ht="12.75">
      <c r="A87" s="106" t="s">
        <v>86</v>
      </c>
      <c r="B87" s="106"/>
      <c r="C87" s="104" t="s">
        <v>517</v>
      </c>
      <c r="D87" s="131"/>
      <c r="E87" s="256"/>
      <c r="F87" s="282"/>
      <c r="G87" s="289"/>
      <c r="H87" s="284"/>
      <c r="I87" s="282"/>
      <c r="J87" s="282"/>
      <c r="K87" s="282"/>
      <c r="L87" s="133"/>
      <c r="N87" s="132"/>
      <c r="O87" s="134"/>
    </row>
    <row r="88" spans="1:15" s="129" customFormat="1" ht="12.75">
      <c r="A88" s="106" t="s">
        <v>87</v>
      </c>
      <c r="B88" s="106"/>
      <c r="C88" s="104" t="s">
        <v>518</v>
      </c>
      <c r="D88" s="131"/>
      <c r="E88" s="256"/>
      <c r="F88" s="282"/>
      <c r="G88" s="289"/>
      <c r="H88" s="284"/>
      <c r="I88" s="282"/>
      <c r="J88" s="282"/>
      <c r="K88" s="282"/>
      <c r="L88" s="133"/>
      <c r="N88" s="132">
        <v>6.8</v>
      </c>
      <c r="O88" s="134">
        <v>4.19</v>
      </c>
    </row>
    <row r="89" spans="1:15" s="129" customFormat="1" ht="25.5">
      <c r="A89" s="131" t="s">
        <v>88</v>
      </c>
      <c r="B89" s="131" t="s">
        <v>519</v>
      </c>
      <c r="C89" s="200" t="s">
        <v>520</v>
      </c>
      <c r="D89" s="131" t="s">
        <v>35</v>
      </c>
      <c r="E89" s="256">
        <f>E93</f>
        <v>105.66</v>
      </c>
      <c r="F89" s="343">
        <v>110.13</v>
      </c>
      <c r="G89" s="343">
        <v>32.64</v>
      </c>
      <c r="H89" s="284">
        <f>G89+F89</f>
        <v>142.77</v>
      </c>
      <c r="I89" s="282">
        <f>F89*E89</f>
        <v>11636.34</v>
      </c>
      <c r="J89" s="282">
        <f>G89*E89</f>
        <v>3448.74</v>
      </c>
      <c r="K89" s="282">
        <f>I89+J89</f>
        <v>15085.08</v>
      </c>
      <c r="L89" s="133"/>
      <c r="N89" s="132">
        <v>33.01</v>
      </c>
      <c r="O89" s="350">
        <v>8.4</v>
      </c>
    </row>
    <row r="90" spans="1:15" s="129" customFormat="1" ht="25.5">
      <c r="A90" s="131" t="s">
        <v>619</v>
      </c>
      <c r="B90" s="131" t="s">
        <v>521</v>
      </c>
      <c r="C90" s="200" t="s">
        <v>522</v>
      </c>
      <c r="D90" s="131" t="s">
        <v>35</v>
      </c>
      <c r="E90" s="256">
        <f>E89</f>
        <v>105.66</v>
      </c>
      <c r="F90" s="343">
        <v>20.73</v>
      </c>
      <c r="G90" s="343">
        <v>16.99</v>
      </c>
      <c r="H90" s="284">
        <f>G90+F90</f>
        <v>37.72</v>
      </c>
      <c r="I90" s="282">
        <f>F90*E90</f>
        <v>2190.33</v>
      </c>
      <c r="J90" s="282">
        <f>G90*E90</f>
        <v>1795.16</v>
      </c>
      <c r="K90" s="282">
        <f>I90+J90</f>
        <v>3985.49</v>
      </c>
      <c r="L90" s="133"/>
      <c r="N90" s="132">
        <v>9.53</v>
      </c>
      <c r="O90" s="350">
        <v>5.87</v>
      </c>
    </row>
    <row r="91" spans="1:15" s="129" customFormat="1" ht="12.75">
      <c r="A91" s="236"/>
      <c r="B91" s="236"/>
      <c r="C91" s="232" t="s">
        <v>185</v>
      </c>
      <c r="D91" s="236"/>
      <c r="E91" s="261"/>
      <c r="F91" s="286"/>
      <c r="G91" s="286"/>
      <c r="H91" s="291"/>
      <c r="I91" s="286"/>
      <c r="J91" s="286"/>
      <c r="K91" s="286"/>
      <c r="L91" s="234">
        <f>SUM(K89:K90)</f>
        <v>19070.57</v>
      </c>
      <c r="M91" s="235"/>
      <c r="N91" s="132"/>
      <c r="O91" s="134"/>
    </row>
    <row r="92" spans="1:15" s="129" customFormat="1" ht="12.75">
      <c r="A92" s="106" t="s">
        <v>149</v>
      </c>
      <c r="B92" s="106"/>
      <c r="C92" s="104" t="s">
        <v>525</v>
      </c>
      <c r="D92" s="131"/>
      <c r="E92" s="256"/>
      <c r="F92" s="282"/>
      <c r="G92" s="289"/>
      <c r="H92" s="284"/>
      <c r="I92" s="282"/>
      <c r="J92" s="282"/>
      <c r="K92" s="282"/>
      <c r="L92" s="133"/>
      <c r="N92" s="132">
        <v>6.8</v>
      </c>
      <c r="O92" s="134">
        <v>4.19</v>
      </c>
    </row>
    <row r="93" spans="1:15" s="129" customFormat="1" ht="25.5">
      <c r="A93" s="131" t="s">
        <v>197</v>
      </c>
      <c r="B93" s="131" t="s">
        <v>281</v>
      </c>
      <c r="C93" s="316" t="s">
        <v>282</v>
      </c>
      <c r="D93" s="131" t="s">
        <v>35</v>
      </c>
      <c r="E93" s="256">
        <f>E66</f>
        <v>105.66</v>
      </c>
      <c r="F93" s="282">
        <f>17.23</f>
        <v>17.23</v>
      </c>
      <c r="G93" s="282">
        <f>0.02+19.7</f>
        <v>19.72</v>
      </c>
      <c r="H93" s="284">
        <f>G93+F93</f>
        <v>36.95</v>
      </c>
      <c r="I93" s="282">
        <f>F93*E93</f>
        <v>1820.52</v>
      </c>
      <c r="J93" s="282">
        <f>G93*E93</f>
        <v>2083.62</v>
      </c>
      <c r="K93" s="282">
        <f>I93+J93</f>
        <v>3904.14</v>
      </c>
      <c r="L93" s="133"/>
      <c r="N93" s="132">
        <v>3.41</v>
      </c>
      <c r="O93" s="134">
        <v>2.1</v>
      </c>
    </row>
    <row r="94" spans="1:15" s="129" customFormat="1" ht="25.5">
      <c r="A94" s="131" t="s">
        <v>620</v>
      </c>
      <c r="B94" s="131" t="s">
        <v>283</v>
      </c>
      <c r="C94" s="200" t="s">
        <v>284</v>
      </c>
      <c r="D94" s="131" t="s">
        <v>35</v>
      </c>
      <c r="E94" s="256">
        <f>E78</f>
        <v>210.73</v>
      </c>
      <c r="F94" s="282">
        <f>16.02</f>
        <v>16.02</v>
      </c>
      <c r="G94" s="282">
        <f>17.89+0.02+0.02</f>
        <v>17.93</v>
      </c>
      <c r="H94" s="284">
        <f>G94+F94</f>
        <v>33.95</v>
      </c>
      <c r="I94" s="282">
        <f>F94*E94</f>
        <v>3375.89</v>
      </c>
      <c r="J94" s="282">
        <f>G94*E94</f>
        <v>3778.39</v>
      </c>
      <c r="K94" s="282">
        <f>I94+J94</f>
        <v>7154.28</v>
      </c>
      <c r="L94" s="133"/>
      <c r="N94" s="132">
        <v>33.01</v>
      </c>
      <c r="O94" s="134">
        <v>8.4</v>
      </c>
    </row>
    <row r="95" spans="1:15" s="129" customFormat="1" ht="12.75">
      <c r="A95" s="236"/>
      <c r="B95" s="236"/>
      <c r="C95" s="232" t="s">
        <v>185</v>
      </c>
      <c r="D95" s="236"/>
      <c r="E95" s="261"/>
      <c r="F95" s="286"/>
      <c r="G95" s="286"/>
      <c r="H95" s="291"/>
      <c r="I95" s="286"/>
      <c r="J95" s="286"/>
      <c r="K95" s="286"/>
      <c r="L95" s="234">
        <f>SUM(K93:K94)</f>
        <v>11058.42</v>
      </c>
      <c r="M95" s="235"/>
      <c r="N95" s="132"/>
      <c r="O95" s="134"/>
    </row>
    <row r="96" spans="1:15" s="129" customFormat="1" ht="12.75">
      <c r="A96" s="107" t="s">
        <v>89</v>
      </c>
      <c r="B96" s="107"/>
      <c r="C96" s="105" t="s">
        <v>447</v>
      </c>
      <c r="D96" s="139"/>
      <c r="E96" s="263"/>
      <c r="F96" s="282"/>
      <c r="G96" s="289"/>
      <c r="H96" s="284"/>
      <c r="I96" s="292"/>
      <c r="J96" s="292"/>
      <c r="K96" s="292"/>
      <c r="L96" s="140"/>
      <c r="N96" s="132"/>
      <c r="O96" s="134"/>
    </row>
    <row r="97" spans="1:15" s="144" customFormat="1" ht="12.75">
      <c r="A97" s="107" t="s">
        <v>90</v>
      </c>
      <c r="B97" s="107"/>
      <c r="C97" s="105" t="s">
        <v>446</v>
      </c>
      <c r="D97" s="139"/>
      <c r="E97" s="263"/>
      <c r="F97" s="282"/>
      <c r="G97" s="289"/>
      <c r="H97" s="284"/>
      <c r="I97" s="292"/>
      <c r="J97" s="292"/>
      <c r="K97" s="292"/>
      <c r="L97" s="140"/>
      <c r="M97" s="129"/>
      <c r="N97" s="134">
        <v>198.35</v>
      </c>
      <c r="O97" s="134">
        <v>104.83</v>
      </c>
    </row>
    <row r="98" spans="1:15" s="144" customFormat="1" ht="12.75">
      <c r="A98" s="142" t="s">
        <v>91</v>
      </c>
      <c r="B98" s="142" t="s">
        <v>449</v>
      </c>
      <c r="C98" s="205" t="s">
        <v>448</v>
      </c>
      <c r="D98" s="142" t="s">
        <v>35</v>
      </c>
      <c r="E98" s="263">
        <f>((1.1+2.1*0.6)*2)+((0.25*1.1+2.1)*2)</f>
        <v>9.47</v>
      </c>
      <c r="F98" s="282">
        <f>1.8+262</f>
        <v>263.8</v>
      </c>
      <c r="G98" s="282">
        <f>3.55+3.5+12.76+9.12</f>
        <v>28.93</v>
      </c>
      <c r="H98" s="284">
        <f>G98+F98</f>
        <v>292.73</v>
      </c>
      <c r="I98" s="292">
        <f>F98*E98</f>
        <v>2498.19</v>
      </c>
      <c r="J98" s="292">
        <f>G98*E98</f>
        <v>273.97</v>
      </c>
      <c r="K98" s="292">
        <f>I98+J98</f>
        <v>2772.16</v>
      </c>
      <c r="L98" s="143"/>
      <c r="N98" s="134">
        <v>15.23</v>
      </c>
      <c r="O98" s="134">
        <v>9.37</v>
      </c>
    </row>
    <row r="99" spans="1:15" s="129" customFormat="1" ht="12.75">
      <c r="A99" s="236"/>
      <c r="B99" s="236"/>
      <c r="C99" s="232" t="s">
        <v>185</v>
      </c>
      <c r="D99" s="236"/>
      <c r="E99" s="261"/>
      <c r="F99" s="286"/>
      <c r="G99" s="286"/>
      <c r="H99" s="291"/>
      <c r="I99" s="286"/>
      <c r="J99" s="286"/>
      <c r="K99" s="286"/>
      <c r="L99" s="234">
        <f>SUM(K98:K98)</f>
        <v>2772.16</v>
      </c>
      <c r="M99" s="235"/>
      <c r="N99" s="132"/>
      <c r="O99" s="134"/>
    </row>
    <row r="100" spans="1:15" s="129" customFormat="1" ht="12.75">
      <c r="A100" s="107" t="s">
        <v>551</v>
      </c>
      <c r="B100" s="107"/>
      <c r="C100" s="103" t="s">
        <v>6</v>
      </c>
      <c r="D100" s="138"/>
      <c r="E100" s="262"/>
      <c r="F100" s="282"/>
      <c r="G100" s="289"/>
      <c r="H100" s="284"/>
      <c r="I100" s="298"/>
      <c r="J100" s="298"/>
      <c r="K100" s="298"/>
      <c r="L100" s="140"/>
      <c r="N100" s="132">
        <v>218.22</v>
      </c>
      <c r="O100" s="134">
        <v>30.37</v>
      </c>
    </row>
    <row r="101" spans="1:15" s="129" customFormat="1" ht="38.25">
      <c r="A101" s="139" t="s">
        <v>621</v>
      </c>
      <c r="B101" s="139" t="s">
        <v>403</v>
      </c>
      <c r="C101" s="206" t="s">
        <v>402</v>
      </c>
      <c r="D101" s="207" t="s">
        <v>38</v>
      </c>
      <c r="E101" s="262">
        <v>4</v>
      </c>
      <c r="F101" s="282">
        <f>35.32+1.89+558.49+3.35+5.47</f>
        <v>604.52</v>
      </c>
      <c r="G101" s="282">
        <f>25.42+9.22</f>
        <v>34.64</v>
      </c>
      <c r="H101" s="293">
        <f aca="true" t="shared" si="0" ref="H101:H118">F101+G101</f>
        <v>639.16</v>
      </c>
      <c r="I101" s="293">
        <f aca="true" t="shared" si="1" ref="I101:I118">E101*F101</f>
        <v>2418.08</v>
      </c>
      <c r="J101" s="293">
        <f aca="true" t="shared" si="2" ref="J101:J118">E101*G101</f>
        <v>138.56</v>
      </c>
      <c r="K101" s="293">
        <f aca="true" t="shared" si="3" ref="K101:K118">I101+J101</f>
        <v>2556.64</v>
      </c>
      <c r="L101" s="137"/>
      <c r="N101" s="132">
        <v>152.38</v>
      </c>
      <c r="O101" s="134">
        <v>21.22</v>
      </c>
    </row>
    <row r="102" spans="1:15" s="129" customFormat="1" ht="12.75">
      <c r="A102" s="139" t="s">
        <v>622</v>
      </c>
      <c r="B102" s="139" t="s">
        <v>405</v>
      </c>
      <c r="C102" s="206" t="s">
        <v>404</v>
      </c>
      <c r="D102" s="207" t="s">
        <v>38</v>
      </c>
      <c r="E102" s="262">
        <v>4</v>
      </c>
      <c r="F102" s="282">
        <f>0.96+2+51.9+0.04+239.9+15.48+23</f>
        <v>333.28</v>
      </c>
      <c r="G102" s="282">
        <f>68.88+80.74</f>
        <v>149.62</v>
      </c>
      <c r="H102" s="293">
        <f t="shared" si="0"/>
        <v>482.9</v>
      </c>
      <c r="I102" s="293">
        <f t="shared" si="1"/>
        <v>1333.12</v>
      </c>
      <c r="J102" s="293">
        <f t="shared" si="2"/>
        <v>598.48</v>
      </c>
      <c r="K102" s="293">
        <f t="shared" si="3"/>
        <v>1931.6</v>
      </c>
      <c r="L102" s="137"/>
      <c r="N102" s="132">
        <v>17.33</v>
      </c>
      <c r="O102" s="134">
        <v>4.32</v>
      </c>
    </row>
    <row r="103" spans="1:15" s="129" customFormat="1" ht="12.75">
      <c r="A103" s="139" t="s">
        <v>623</v>
      </c>
      <c r="B103" s="139" t="s">
        <v>406</v>
      </c>
      <c r="C103" s="206" t="s">
        <v>407</v>
      </c>
      <c r="D103" s="207" t="s">
        <v>5</v>
      </c>
      <c r="E103" s="262">
        <v>8</v>
      </c>
      <c r="F103" s="282">
        <f>6.58</f>
        <v>6.58</v>
      </c>
      <c r="G103" s="282">
        <f>1.43+2.33</f>
        <v>3.76</v>
      </c>
      <c r="H103" s="293">
        <f t="shared" si="0"/>
        <v>10.34</v>
      </c>
      <c r="I103" s="293">
        <f t="shared" si="1"/>
        <v>52.64</v>
      </c>
      <c r="J103" s="293">
        <f t="shared" si="2"/>
        <v>30.08</v>
      </c>
      <c r="K103" s="293">
        <f t="shared" si="3"/>
        <v>82.72</v>
      </c>
      <c r="L103" s="137"/>
      <c r="N103" s="132">
        <v>45.15</v>
      </c>
      <c r="O103" s="134">
        <v>11.25</v>
      </c>
    </row>
    <row r="104" spans="1:15" s="129" customFormat="1" ht="12.75">
      <c r="A104" s="139" t="s">
        <v>624</v>
      </c>
      <c r="B104" s="139" t="s">
        <v>408</v>
      </c>
      <c r="C104" s="206" t="s">
        <v>409</v>
      </c>
      <c r="D104" s="207" t="s">
        <v>5</v>
      </c>
      <c r="E104" s="262">
        <v>4</v>
      </c>
      <c r="F104" s="282">
        <f>407.9</f>
        <v>407.9</v>
      </c>
      <c r="G104" s="282">
        <v>4.77</v>
      </c>
      <c r="H104" s="293">
        <f t="shared" si="0"/>
        <v>412.67</v>
      </c>
      <c r="I104" s="293">
        <f t="shared" si="1"/>
        <v>1631.6</v>
      </c>
      <c r="J104" s="293">
        <f t="shared" si="2"/>
        <v>19.08</v>
      </c>
      <c r="K104" s="293">
        <f t="shared" si="3"/>
        <v>1650.68</v>
      </c>
      <c r="L104" s="137"/>
      <c r="N104" s="132">
        <v>16.23</v>
      </c>
      <c r="O104" s="134">
        <v>4.04</v>
      </c>
    </row>
    <row r="105" spans="1:15" s="129" customFormat="1" ht="12.75">
      <c r="A105" s="139" t="s">
        <v>625</v>
      </c>
      <c r="B105" s="139" t="s">
        <v>410</v>
      </c>
      <c r="C105" s="206" t="s">
        <v>411</v>
      </c>
      <c r="D105" s="207" t="s">
        <v>5</v>
      </c>
      <c r="E105" s="262">
        <v>4</v>
      </c>
      <c r="F105" s="282">
        <f>103.95</f>
        <v>103.95</v>
      </c>
      <c r="G105" s="282">
        <f>1.59</f>
        <v>1.59</v>
      </c>
      <c r="H105" s="293">
        <f t="shared" si="0"/>
        <v>105.54</v>
      </c>
      <c r="I105" s="293">
        <f t="shared" si="1"/>
        <v>415.8</v>
      </c>
      <c r="J105" s="293">
        <f t="shared" si="2"/>
        <v>6.36</v>
      </c>
      <c r="K105" s="293">
        <f t="shared" si="3"/>
        <v>422.16</v>
      </c>
      <c r="L105" s="137"/>
      <c r="N105" s="132">
        <v>28.22</v>
      </c>
      <c r="O105" s="134">
        <v>7.03</v>
      </c>
    </row>
    <row r="106" spans="1:15" s="129" customFormat="1" ht="12.75">
      <c r="A106" s="139" t="s">
        <v>626</v>
      </c>
      <c r="B106" s="139" t="s">
        <v>412</v>
      </c>
      <c r="C106" s="206" t="s">
        <v>413</v>
      </c>
      <c r="D106" s="207" t="s">
        <v>26</v>
      </c>
      <c r="E106" s="262">
        <v>8</v>
      </c>
      <c r="F106" s="282">
        <f>12</f>
        <v>12</v>
      </c>
      <c r="G106" s="282">
        <f>5.93</f>
        <v>5.93</v>
      </c>
      <c r="H106" s="293">
        <f t="shared" si="0"/>
        <v>17.93</v>
      </c>
      <c r="I106" s="293">
        <f t="shared" si="1"/>
        <v>96</v>
      </c>
      <c r="J106" s="293">
        <f t="shared" si="2"/>
        <v>47.44</v>
      </c>
      <c r="K106" s="293">
        <f t="shared" si="3"/>
        <v>143.44</v>
      </c>
      <c r="L106" s="137"/>
      <c r="N106" s="132">
        <v>58.8</v>
      </c>
      <c r="O106" s="134">
        <v>14.65</v>
      </c>
    </row>
    <row r="107" spans="1:15" s="129" customFormat="1" ht="25.5">
      <c r="A107" s="139" t="s">
        <v>627</v>
      </c>
      <c r="B107" s="139" t="s">
        <v>416</v>
      </c>
      <c r="C107" s="206" t="s">
        <v>417</v>
      </c>
      <c r="D107" s="207" t="s">
        <v>38</v>
      </c>
      <c r="E107" s="262">
        <v>2</v>
      </c>
      <c r="F107" s="282">
        <f>0.08+236.16</f>
        <v>236.24</v>
      </c>
      <c r="G107" s="282">
        <f>0.91+0.89+6.38+4.34</f>
        <v>12.52</v>
      </c>
      <c r="H107" s="293">
        <f t="shared" si="0"/>
        <v>248.76</v>
      </c>
      <c r="I107" s="293">
        <f t="shared" si="1"/>
        <v>472.48</v>
      </c>
      <c r="J107" s="293">
        <f t="shared" si="2"/>
        <v>25.04</v>
      </c>
      <c r="K107" s="293">
        <f t="shared" si="3"/>
        <v>497.52</v>
      </c>
      <c r="L107" s="137"/>
      <c r="N107" s="132">
        <v>92.14</v>
      </c>
      <c r="O107" s="134">
        <v>22.96</v>
      </c>
    </row>
    <row r="108" spans="1:15" s="129" customFormat="1" ht="25.5">
      <c r="A108" s="139" t="s">
        <v>628</v>
      </c>
      <c r="B108" s="139" t="s">
        <v>418</v>
      </c>
      <c r="C108" s="206" t="s">
        <v>419</v>
      </c>
      <c r="D108" s="207" t="s">
        <v>5</v>
      </c>
      <c r="E108" s="262">
        <v>6</v>
      </c>
      <c r="F108" s="282">
        <f>526.14+0.04</f>
        <v>526.18</v>
      </c>
      <c r="G108" s="282">
        <f>6.6+7.15</f>
        <v>13.75</v>
      </c>
      <c r="H108" s="293">
        <f t="shared" si="0"/>
        <v>539.93</v>
      </c>
      <c r="I108" s="293">
        <f t="shared" si="1"/>
        <v>3157.08</v>
      </c>
      <c r="J108" s="293">
        <f t="shared" si="2"/>
        <v>82.5</v>
      </c>
      <c r="K108" s="293">
        <f t="shared" si="3"/>
        <v>3239.58</v>
      </c>
      <c r="L108" s="137"/>
      <c r="N108" s="132">
        <v>7.34</v>
      </c>
      <c r="O108" s="134">
        <v>1.83</v>
      </c>
    </row>
    <row r="109" spans="1:15" s="129" customFormat="1" ht="38.25">
      <c r="A109" s="139" t="s">
        <v>629</v>
      </c>
      <c r="B109" s="139" t="s">
        <v>420</v>
      </c>
      <c r="C109" s="206" t="s">
        <v>421</v>
      </c>
      <c r="D109" s="207" t="s">
        <v>5</v>
      </c>
      <c r="E109" s="262">
        <v>6</v>
      </c>
      <c r="F109" s="282">
        <f>230.93+0.13+117.53+28.9+86+19.72</f>
        <v>483.21</v>
      </c>
      <c r="G109" s="282">
        <f>2.73+2.66+19.14+13.01</f>
        <v>37.54</v>
      </c>
      <c r="H109" s="293">
        <f t="shared" si="0"/>
        <v>520.75</v>
      </c>
      <c r="I109" s="293">
        <f t="shared" si="1"/>
        <v>2899.26</v>
      </c>
      <c r="J109" s="293">
        <f t="shared" si="2"/>
        <v>225.24</v>
      </c>
      <c r="K109" s="293">
        <f t="shared" si="3"/>
        <v>3124.5</v>
      </c>
      <c r="L109" s="137"/>
      <c r="N109" s="132">
        <v>7.34</v>
      </c>
      <c r="O109" s="134">
        <v>1.83</v>
      </c>
    </row>
    <row r="110" spans="1:15" s="129" customFormat="1" ht="25.5">
      <c r="A110" s="139" t="s">
        <v>630</v>
      </c>
      <c r="B110" s="139" t="s">
        <v>415</v>
      </c>
      <c r="C110" s="206" t="s">
        <v>414</v>
      </c>
      <c r="D110" s="207" t="s">
        <v>38</v>
      </c>
      <c r="E110" s="262">
        <v>2</v>
      </c>
      <c r="F110" s="282">
        <f>697.79</f>
        <v>697.79</v>
      </c>
      <c r="G110" s="282">
        <f>1.82+1.77+12.76+8.67</f>
        <v>25.02</v>
      </c>
      <c r="H110" s="293">
        <f t="shared" si="0"/>
        <v>722.81</v>
      </c>
      <c r="I110" s="293">
        <f t="shared" si="1"/>
        <v>1395.58</v>
      </c>
      <c r="J110" s="293">
        <f t="shared" si="2"/>
        <v>50.04</v>
      </c>
      <c r="K110" s="293">
        <f t="shared" si="3"/>
        <v>1445.62</v>
      </c>
      <c r="L110" s="137"/>
      <c r="N110" s="132">
        <v>6.77</v>
      </c>
      <c r="O110" s="134">
        <v>1.69</v>
      </c>
    </row>
    <row r="111" spans="1:15" s="129" customFormat="1" ht="12.75">
      <c r="A111" s="139" t="s">
        <v>631</v>
      </c>
      <c r="B111" s="139" t="s">
        <v>422</v>
      </c>
      <c r="C111" s="206" t="s">
        <v>423</v>
      </c>
      <c r="D111" s="207" t="s">
        <v>38</v>
      </c>
      <c r="E111" s="262">
        <f>8</f>
        <v>8</v>
      </c>
      <c r="F111" s="282">
        <f>0.15+27.49</f>
        <v>27.64</v>
      </c>
      <c r="G111" s="282">
        <f>5.59+3.42</f>
        <v>9.01</v>
      </c>
      <c r="H111" s="293">
        <f t="shared" si="0"/>
        <v>36.65</v>
      </c>
      <c r="I111" s="293">
        <f t="shared" si="1"/>
        <v>221.12</v>
      </c>
      <c r="J111" s="293">
        <f t="shared" si="2"/>
        <v>72.08</v>
      </c>
      <c r="K111" s="293">
        <f t="shared" si="3"/>
        <v>293.2</v>
      </c>
      <c r="L111" s="137"/>
      <c r="N111" s="132">
        <v>24.22</v>
      </c>
      <c r="O111" s="134">
        <v>6.04</v>
      </c>
    </row>
    <row r="112" spans="1:15" s="129" customFormat="1" ht="12.75">
      <c r="A112" s="139" t="s">
        <v>632</v>
      </c>
      <c r="B112" s="139" t="s">
        <v>424</v>
      </c>
      <c r="C112" s="206" t="s">
        <v>425</v>
      </c>
      <c r="D112" s="207" t="s">
        <v>38</v>
      </c>
      <c r="E112" s="262">
        <v>8</v>
      </c>
      <c r="F112" s="282">
        <f>513.5+128.59+0.11</f>
        <v>642.2</v>
      </c>
      <c r="G112" s="282">
        <f>26.18+36.1</f>
        <v>62.28</v>
      </c>
      <c r="H112" s="293">
        <f t="shared" si="0"/>
        <v>704.48</v>
      </c>
      <c r="I112" s="293">
        <f t="shared" si="1"/>
        <v>5137.6</v>
      </c>
      <c r="J112" s="293">
        <f t="shared" si="2"/>
        <v>498.24</v>
      </c>
      <c r="K112" s="293">
        <f t="shared" si="3"/>
        <v>5635.84</v>
      </c>
      <c r="L112" s="137"/>
      <c r="N112" s="132">
        <v>132.83</v>
      </c>
      <c r="O112" s="134">
        <v>18.49</v>
      </c>
    </row>
    <row r="113" spans="1:15" s="129" customFormat="1" ht="12.75">
      <c r="A113" s="139" t="s">
        <v>633</v>
      </c>
      <c r="B113" s="139" t="s">
        <v>428</v>
      </c>
      <c r="C113" s="206" t="s">
        <v>426</v>
      </c>
      <c r="D113" s="207" t="s">
        <v>38</v>
      </c>
      <c r="E113" s="262">
        <v>8</v>
      </c>
      <c r="F113" s="282">
        <f>123.92</f>
        <v>123.92</v>
      </c>
      <c r="G113" s="282">
        <f>11.58+8.56</f>
        <v>20.14</v>
      </c>
      <c r="H113" s="293">
        <f t="shared" si="0"/>
        <v>144.06</v>
      </c>
      <c r="I113" s="293">
        <f t="shared" si="1"/>
        <v>991.36</v>
      </c>
      <c r="J113" s="293">
        <f t="shared" si="2"/>
        <v>161.12</v>
      </c>
      <c r="K113" s="293">
        <f t="shared" si="3"/>
        <v>1152.48</v>
      </c>
      <c r="L113" s="137"/>
      <c r="N113" s="132">
        <v>38.43</v>
      </c>
      <c r="O113" s="134">
        <v>9.57</v>
      </c>
    </row>
    <row r="114" spans="1:15" s="129" customFormat="1" ht="12.75">
      <c r="A114" s="139" t="s">
        <v>634</v>
      </c>
      <c r="B114" s="139" t="s">
        <v>429</v>
      </c>
      <c r="C114" s="202" t="s">
        <v>427</v>
      </c>
      <c r="D114" s="207" t="s">
        <v>38</v>
      </c>
      <c r="E114" s="262">
        <v>12</v>
      </c>
      <c r="F114" s="282">
        <f>105.68</f>
        <v>105.68</v>
      </c>
      <c r="G114" s="282">
        <f>11.58+8.56</f>
        <v>20.14</v>
      </c>
      <c r="H114" s="293">
        <f t="shared" si="0"/>
        <v>125.82</v>
      </c>
      <c r="I114" s="293">
        <f t="shared" si="1"/>
        <v>1268.16</v>
      </c>
      <c r="J114" s="293">
        <f t="shared" si="2"/>
        <v>241.68</v>
      </c>
      <c r="K114" s="293">
        <f t="shared" si="3"/>
        <v>1509.84</v>
      </c>
      <c r="L114" s="137"/>
      <c r="N114" s="132">
        <v>39.23</v>
      </c>
      <c r="O114" s="134">
        <v>9.77</v>
      </c>
    </row>
    <row r="115" spans="1:15" s="129" customFormat="1" ht="25.5">
      <c r="A115" s="139" t="s">
        <v>635</v>
      </c>
      <c r="B115" s="139" t="s">
        <v>430</v>
      </c>
      <c r="C115" s="202" t="s">
        <v>431</v>
      </c>
      <c r="D115" s="207" t="s">
        <v>38</v>
      </c>
      <c r="E115" s="262">
        <v>4</v>
      </c>
      <c r="F115" s="282">
        <f>738.78</f>
        <v>738.78</v>
      </c>
      <c r="G115" s="282">
        <f>25.3</f>
        <v>25.3</v>
      </c>
      <c r="H115" s="293">
        <f t="shared" si="0"/>
        <v>764.08</v>
      </c>
      <c r="I115" s="293">
        <f t="shared" si="1"/>
        <v>2955.12</v>
      </c>
      <c r="J115" s="293">
        <f t="shared" si="2"/>
        <v>101.2</v>
      </c>
      <c r="K115" s="293">
        <f t="shared" si="3"/>
        <v>3056.32</v>
      </c>
      <c r="L115" s="137"/>
      <c r="N115" s="132">
        <v>19.82</v>
      </c>
      <c r="O115" s="134">
        <v>4.94</v>
      </c>
    </row>
    <row r="116" spans="1:15" s="129" customFormat="1" ht="12.75">
      <c r="A116" s="139" t="s">
        <v>636</v>
      </c>
      <c r="B116" s="139" t="s">
        <v>432</v>
      </c>
      <c r="C116" s="202" t="s">
        <v>433</v>
      </c>
      <c r="D116" s="207" t="s">
        <v>38</v>
      </c>
      <c r="E116" s="262">
        <v>8</v>
      </c>
      <c r="F116" s="282">
        <f>26.19</f>
        <v>26.19</v>
      </c>
      <c r="G116" s="282">
        <f>6.32</f>
        <v>6.32</v>
      </c>
      <c r="H116" s="293">
        <f t="shared" si="0"/>
        <v>32.51</v>
      </c>
      <c r="I116" s="293">
        <f t="shared" si="1"/>
        <v>209.52</v>
      </c>
      <c r="J116" s="293">
        <f t="shared" si="2"/>
        <v>50.56</v>
      </c>
      <c r="K116" s="293">
        <f t="shared" si="3"/>
        <v>260.08</v>
      </c>
      <c r="L116" s="137"/>
      <c r="N116" s="132">
        <v>48.55</v>
      </c>
      <c r="O116" s="134">
        <v>12.1</v>
      </c>
    </row>
    <row r="117" spans="1:15" s="129" customFormat="1" ht="12.75">
      <c r="A117" s="139" t="s">
        <v>637</v>
      </c>
      <c r="B117" s="139" t="s">
        <v>434</v>
      </c>
      <c r="C117" s="202" t="s">
        <v>435</v>
      </c>
      <c r="D117" s="207" t="s">
        <v>38</v>
      </c>
      <c r="E117" s="262">
        <v>8</v>
      </c>
      <c r="F117" s="282">
        <f>64+0.21+529.17</f>
        <v>593.38</v>
      </c>
      <c r="G117" s="282">
        <f>30.44+39.44</f>
        <v>69.88</v>
      </c>
      <c r="H117" s="293">
        <f t="shared" si="0"/>
        <v>663.26</v>
      </c>
      <c r="I117" s="293">
        <f t="shared" si="1"/>
        <v>4747.04</v>
      </c>
      <c r="J117" s="293">
        <f t="shared" si="2"/>
        <v>559.04</v>
      </c>
      <c r="K117" s="293">
        <f t="shared" si="3"/>
        <v>5306.08</v>
      </c>
      <c r="L117" s="137"/>
      <c r="N117" s="132">
        <v>50.81</v>
      </c>
      <c r="O117" s="134">
        <v>12.66</v>
      </c>
    </row>
    <row r="118" spans="1:15" s="129" customFormat="1" ht="12.75">
      <c r="A118" s="139" t="s">
        <v>638</v>
      </c>
      <c r="B118" s="139" t="s">
        <v>437</v>
      </c>
      <c r="C118" s="202" t="s">
        <v>436</v>
      </c>
      <c r="D118" s="207" t="s">
        <v>38</v>
      </c>
      <c r="E118" s="262">
        <v>4</v>
      </c>
      <c r="F118" s="282">
        <f>129.41</f>
        <v>129.41</v>
      </c>
      <c r="G118" s="282">
        <f>16.9+13.14</f>
        <v>30.04</v>
      </c>
      <c r="H118" s="293">
        <f t="shared" si="0"/>
        <v>159.45</v>
      </c>
      <c r="I118" s="293">
        <f t="shared" si="1"/>
        <v>517.64</v>
      </c>
      <c r="J118" s="293">
        <f t="shared" si="2"/>
        <v>120.16</v>
      </c>
      <c r="K118" s="293">
        <f t="shared" si="3"/>
        <v>637.8</v>
      </c>
      <c r="L118" s="137"/>
      <c r="N118" s="132">
        <v>13.55</v>
      </c>
      <c r="O118" s="134">
        <v>3.38</v>
      </c>
    </row>
    <row r="119" spans="1:15" s="217" customFormat="1" ht="12.75">
      <c r="A119" s="139" t="s">
        <v>639</v>
      </c>
      <c r="B119" s="166" t="s">
        <v>438</v>
      </c>
      <c r="C119" s="209" t="s">
        <v>439</v>
      </c>
      <c r="D119" s="166" t="s">
        <v>38</v>
      </c>
      <c r="E119" s="264">
        <v>16</v>
      </c>
      <c r="F119" s="282">
        <f>0.06+29</f>
        <v>29.06</v>
      </c>
      <c r="G119" s="282">
        <f>3.35+0.79</f>
        <v>4.14</v>
      </c>
      <c r="H119" s="293">
        <f>F119+G119</f>
        <v>33.2</v>
      </c>
      <c r="I119" s="293">
        <f>E119*F119</f>
        <v>464.96</v>
      </c>
      <c r="J119" s="293">
        <f>E119*G119</f>
        <v>66.24</v>
      </c>
      <c r="K119" s="293">
        <f>I119+J119</f>
        <v>531.2</v>
      </c>
      <c r="L119" s="163"/>
      <c r="M119" s="165"/>
      <c r="N119" s="177">
        <v>13.2</v>
      </c>
      <c r="O119" s="170">
        <v>3.73</v>
      </c>
    </row>
    <row r="120" spans="1:15" s="129" customFormat="1" ht="12.75">
      <c r="A120" s="236"/>
      <c r="B120" s="236"/>
      <c r="C120" s="232" t="s">
        <v>185</v>
      </c>
      <c r="D120" s="236"/>
      <c r="E120" s="261"/>
      <c r="F120" s="286"/>
      <c r="G120" s="286"/>
      <c r="H120" s="291"/>
      <c r="I120" s="286"/>
      <c r="J120" s="286"/>
      <c r="K120" s="286"/>
      <c r="L120" s="234">
        <f>SUM(K101:K119)</f>
        <v>33477.3</v>
      </c>
      <c r="M120" s="235"/>
      <c r="N120" s="132"/>
      <c r="O120" s="134"/>
    </row>
    <row r="121" spans="1:15" s="354" customFormat="1" ht="12.75">
      <c r="A121" s="356" t="s">
        <v>0</v>
      </c>
      <c r="B121" s="356"/>
      <c r="C121" s="358" t="s">
        <v>14</v>
      </c>
      <c r="D121" s="352"/>
      <c r="E121" s="373"/>
      <c r="F121" s="292"/>
      <c r="G121" s="292"/>
      <c r="H121" s="284"/>
      <c r="I121" s="292"/>
      <c r="J121" s="292"/>
      <c r="K121" s="292"/>
      <c r="L121" s="353"/>
      <c r="N121" s="357"/>
      <c r="O121" s="357"/>
    </row>
    <row r="122" spans="1:15" s="354" customFormat="1" ht="12.75">
      <c r="A122" s="356" t="s">
        <v>1</v>
      </c>
      <c r="B122" s="356"/>
      <c r="C122" s="358" t="s">
        <v>15</v>
      </c>
      <c r="D122" s="352"/>
      <c r="E122" s="373"/>
      <c r="F122" s="292"/>
      <c r="G122" s="292"/>
      <c r="H122" s="284"/>
      <c r="I122" s="292"/>
      <c r="J122" s="292"/>
      <c r="K122" s="292"/>
      <c r="L122" s="353"/>
      <c r="N122" s="357">
        <v>33.1</v>
      </c>
      <c r="O122" s="357">
        <v>20.37</v>
      </c>
    </row>
    <row r="123" spans="1:15" s="354" customFormat="1" ht="12.75">
      <c r="A123" s="352" t="s">
        <v>2</v>
      </c>
      <c r="B123" s="352" t="s">
        <v>444</v>
      </c>
      <c r="C123" s="363" t="s">
        <v>445</v>
      </c>
      <c r="D123" s="352" t="s">
        <v>35</v>
      </c>
      <c r="E123" s="373">
        <v>50</v>
      </c>
      <c r="F123" s="292">
        <f>16.71</f>
        <v>16.71</v>
      </c>
      <c r="G123" s="292">
        <f>26.02</f>
        <v>26.02</v>
      </c>
      <c r="H123" s="284">
        <f>G123+F123</f>
        <v>42.73</v>
      </c>
      <c r="I123" s="292">
        <f>F123*E123</f>
        <v>835.5</v>
      </c>
      <c r="J123" s="292">
        <f>G123*E123</f>
        <v>1301</v>
      </c>
      <c r="K123" s="292">
        <f>I123+J123</f>
        <v>2136.5</v>
      </c>
      <c r="L123" s="353"/>
      <c r="N123" s="357">
        <v>75.42</v>
      </c>
      <c r="O123" s="357">
        <v>46.41</v>
      </c>
    </row>
    <row r="124" spans="1:15" s="354" customFormat="1" ht="12.75">
      <c r="A124" s="352" t="s">
        <v>640</v>
      </c>
      <c r="B124" s="352" t="s">
        <v>442</v>
      </c>
      <c r="C124" s="363" t="s">
        <v>443</v>
      </c>
      <c r="D124" s="352" t="s">
        <v>35</v>
      </c>
      <c r="E124" s="373">
        <v>50</v>
      </c>
      <c r="F124" s="292">
        <f>0.22+2.12</f>
        <v>2.34</v>
      </c>
      <c r="G124" s="292">
        <f>0.95+0.3</f>
        <v>1.25</v>
      </c>
      <c r="H124" s="284">
        <f>G124+F124</f>
        <v>3.59</v>
      </c>
      <c r="I124" s="292">
        <f>F124*E124</f>
        <v>117</v>
      </c>
      <c r="J124" s="292">
        <f>G124*E124</f>
        <v>62.5</v>
      </c>
      <c r="K124" s="292">
        <f>I124+J124</f>
        <v>179.5</v>
      </c>
      <c r="L124" s="353"/>
      <c r="N124" s="357"/>
      <c r="O124" s="357"/>
    </row>
    <row r="125" spans="1:15" s="354" customFormat="1" ht="12.75">
      <c r="A125" s="356"/>
      <c r="B125" s="356"/>
      <c r="C125" s="356" t="s">
        <v>185</v>
      </c>
      <c r="D125" s="352"/>
      <c r="E125" s="373"/>
      <c r="F125" s="292"/>
      <c r="G125" s="292"/>
      <c r="H125" s="284"/>
      <c r="I125" s="292"/>
      <c r="J125" s="292"/>
      <c r="K125" s="292"/>
      <c r="L125" s="355">
        <f>SUM(K123:K124)</f>
        <v>2316</v>
      </c>
      <c r="N125" s="357"/>
      <c r="O125" s="357"/>
    </row>
    <row r="126" spans="1:15" s="354" customFormat="1" ht="12.75">
      <c r="A126" s="356" t="s">
        <v>3</v>
      </c>
      <c r="B126" s="356"/>
      <c r="C126" s="358" t="s">
        <v>16</v>
      </c>
      <c r="D126" s="352"/>
      <c r="E126" s="373"/>
      <c r="F126" s="292"/>
      <c r="G126" s="292"/>
      <c r="H126" s="284"/>
      <c r="I126" s="292"/>
      <c r="J126" s="292"/>
      <c r="K126" s="292"/>
      <c r="L126" s="353"/>
      <c r="N126" s="357">
        <v>7.32</v>
      </c>
      <c r="O126" s="357">
        <v>4.5</v>
      </c>
    </row>
    <row r="127" spans="1:15" s="354" customFormat="1" ht="12.75">
      <c r="A127" s="352" t="s">
        <v>4</v>
      </c>
      <c r="B127" s="352" t="s">
        <v>440</v>
      </c>
      <c r="C127" s="363" t="s">
        <v>441</v>
      </c>
      <c r="D127" s="352" t="s">
        <v>35</v>
      </c>
      <c r="E127" s="373">
        <v>50</v>
      </c>
      <c r="F127" s="292">
        <v>4.99</v>
      </c>
      <c r="G127" s="292">
        <f>2.59+0.84</f>
        <v>3.43</v>
      </c>
      <c r="H127" s="284">
        <f>G127+F127</f>
        <v>8.42</v>
      </c>
      <c r="I127" s="292">
        <f>F127*E127</f>
        <v>249.5</v>
      </c>
      <c r="J127" s="292">
        <f>G127*E127</f>
        <v>171.5</v>
      </c>
      <c r="K127" s="292">
        <f>I127+J127</f>
        <v>421</v>
      </c>
      <c r="L127" s="353"/>
      <c r="N127" s="357">
        <v>119.03</v>
      </c>
      <c r="O127" s="357">
        <v>73.25</v>
      </c>
    </row>
    <row r="128" spans="1:15" s="354" customFormat="1" ht="12.75">
      <c r="A128" s="352"/>
      <c r="B128" s="352"/>
      <c r="C128" s="356" t="s">
        <v>185</v>
      </c>
      <c r="D128" s="352"/>
      <c r="E128" s="373"/>
      <c r="F128" s="292"/>
      <c r="G128" s="292"/>
      <c r="H128" s="284"/>
      <c r="I128" s="292"/>
      <c r="J128" s="292"/>
      <c r="K128" s="292"/>
      <c r="L128" s="355">
        <f>SUM(K127:K127)</f>
        <v>421</v>
      </c>
      <c r="N128" s="357"/>
      <c r="O128" s="357"/>
    </row>
    <row r="129" spans="1:15" s="129" customFormat="1" ht="12.75">
      <c r="A129" s="179"/>
      <c r="B129" s="179"/>
      <c r="C129" s="180" t="s">
        <v>189</v>
      </c>
      <c r="D129" s="179"/>
      <c r="E129" s="260"/>
      <c r="F129" s="283"/>
      <c r="G129" s="283"/>
      <c r="H129" s="287"/>
      <c r="I129" s="288">
        <f>SUM(I46:I128)</f>
        <v>140670.95</v>
      </c>
      <c r="J129" s="288">
        <f>SUM(J46:J128)</f>
        <v>48456.3</v>
      </c>
      <c r="K129" s="283"/>
      <c r="L129" s="182">
        <f>SUM(L42:L128)</f>
        <v>189127.25</v>
      </c>
      <c r="M129" s="377">
        <f>L129*$K$295+(L129)</f>
        <v>232191.52</v>
      </c>
      <c r="N129" s="132"/>
      <c r="O129" s="134"/>
    </row>
    <row r="130" spans="1:15" s="165" customFormat="1" ht="12.75">
      <c r="A130" s="160">
        <v>5</v>
      </c>
      <c r="B130" s="160"/>
      <c r="C130" s="161" t="s">
        <v>7</v>
      </c>
      <c r="D130" s="162"/>
      <c r="E130" s="268"/>
      <c r="F130" s="299"/>
      <c r="G130" s="299"/>
      <c r="H130" s="299"/>
      <c r="I130" s="299"/>
      <c r="J130" s="299"/>
      <c r="K130" s="299"/>
      <c r="L130" s="164"/>
      <c r="N130" s="163"/>
      <c r="O130" s="163"/>
    </row>
    <row r="131" spans="1:15" s="165" customFormat="1" ht="12.75">
      <c r="A131" s="160" t="s">
        <v>92</v>
      </c>
      <c r="B131" s="160"/>
      <c r="C131" s="161" t="s">
        <v>62</v>
      </c>
      <c r="D131" s="162"/>
      <c r="E131" s="268"/>
      <c r="F131" s="299"/>
      <c r="G131" s="299"/>
      <c r="H131" s="299"/>
      <c r="I131" s="299"/>
      <c r="J131" s="299"/>
      <c r="K131" s="299"/>
      <c r="L131" s="164"/>
      <c r="N131" s="177">
        <v>1.93</v>
      </c>
      <c r="O131" s="170">
        <v>1.44</v>
      </c>
    </row>
    <row r="132" spans="1:15" s="165" customFormat="1" ht="12.75">
      <c r="A132" s="166" t="s">
        <v>552</v>
      </c>
      <c r="B132" s="166" t="s">
        <v>300</v>
      </c>
      <c r="C132" s="209" t="s">
        <v>297</v>
      </c>
      <c r="D132" s="166" t="s">
        <v>38</v>
      </c>
      <c r="E132" s="264">
        <v>2</v>
      </c>
      <c r="F132" s="282">
        <f>0.14+1.12</f>
        <v>1.26</v>
      </c>
      <c r="G132" s="282">
        <f>0.16+0.16+1.15+0.78</f>
        <v>2.25</v>
      </c>
      <c r="H132" s="293">
        <f aca="true" t="shared" si="4" ref="H132:H156">F132+G132</f>
        <v>3.51</v>
      </c>
      <c r="I132" s="293">
        <f aca="true" t="shared" si="5" ref="I132:I156">E132*F132</f>
        <v>2.52</v>
      </c>
      <c r="J132" s="293">
        <f aca="true" t="shared" si="6" ref="J132:J156">E132*G132</f>
        <v>4.5</v>
      </c>
      <c r="K132" s="293">
        <f aca="true" t="shared" si="7" ref="K132:K156">I132+J132</f>
        <v>7.02</v>
      </c>
      <c r="L132" s="164"/>
      <c r="N132" s="177">
        <v>1.84</v>
      </c>
      <c r="O132" s="170">
        <v>1.44</v>
      </c>
    </row>
    <row r="133" spans="1:15" s="165" customFormat="1" ht="12.75">
      <c r="A133" s="166" t="s">
        <v>553</v>
      </c>
      <c r="B133" s="166" t="s">
        <v>301</v>
      </c>
      <c r="C133" s="209" t="s">
        <v>298</v>
      </c>
      <c r="D133" s="166" t="s">
        <v>38</v>
      </c>
      <c r="E133" s="264">
        <v>2</v>
      </c>
      <c r="F133" s="282">
        <f>0.11+0.38</f>
        <v>0.49</v>
      </c>
      <c r="G133" s="282">
        <f>0.16+0.16+1.15+0.78</f>
        <v>2.25</v>
      </c>
      <c r="H133" s="293">
        <f t="shared" si="4"/>
        <v>2.74</v>
      </c>
      <c r="I133" s="293">
        <f t="shared" si="5"/>
        <v>0.98</v>
      </c>
      <c r="J133" s="293">
        <f t="shared" si="6"/>
        <v>4.5</v>
      </c>
      <c r="K133" s="293">
        <f t="shared" si="7"/>
        <v>5.48</v>
      </c>
      <c r="L133" s="164"/>
      <c r="N133" s="177">
        <v>0.84</v>
      </c>
      <c r="O133" s="170">
        <v>1.44</v>
      </c>
    </row>
    <row r="134" spans="1:15" s="165" customFormat="1" ht="12.75">
      <c r="A134" s="166" t="s">
        <v>554</v>
      </c>
      <c r="B134" s="166" t="s">
        <v>302</v>
      </c>
      <c r="C134" s="209" t="s">
        <v>299</v>
      </c>
      <c r="D134" s="166" t="s">
        <v>38</v>
      </c>
      <c r="E134" s="264">
        <v>1</v>
      </c>
      <c r="F134" s="282">
        <f>0.22+0.27+0.34</f>
        <v>0.83</v>
      </c>
      <c r="G134" s="282">
        <f>0.16+0.16+1.15+0.78</f>
        <v>2.25</v>
      </c>
      <c r="H134" s="293">
        <f t="shared" si="4"/>
        <v>3.08</v>
      </c>
      <c r="I134" s="293">
        <f t="shared" si="5"/>
        <v>0.83</v>
      </c>
      <c r="J134" s="293">
        <f t="shared" si="6"/>
        <v>2.25</v>
      </c>
      <c r="K134" s="293">
        <f t="shared" si="7"/>
        <v>3.08</v>
      </c>
      <c r="L134" s="164"/>
      <c r="N134" s="177">
        <v>1.85</v>
      </c>
      <c r="O134" s="170">
        <v>2.09</v>
      </c>
    </row>
    <row r="135" spans="1:15" s="165" customFormat="1" ht="12.75">
      <c r="A135" s="166" t="s">
        <v>555</v>
      </c>
      <c r="B135" s="166" t="s">
        <v>330</v>
      </c>
      <c r="C135" s="209" t="s">
        <v>303</v>
      </c>
      <c r="D135" s="166" t="s">
        <v>38</v>
      </c>
      <c r="E135" s="264">
        <v>3</v>
      </c>
      <c r="F135" s="282">
        <f>0.62+0.4+0.33</f>
        <v>1.35</v>
      </c>
      <c r="G135" s="282">
        <f>0.27+0.26+1.27+0.91</f>
        <v>2.71</v>
      </c>
      <c r="H135" s="293">
        <f t="shared" si="4"/>
        <v>4.06</v>
      </c>
      <c r="I135" s="293">
        <f t="shared" si="5"/>
        <v>4.05</v>
      </c>
      <c r="J135" s="293">
        <f t="shared" si="6"/>
        <v>8.13</v>
      </c>
      <c r="K135" s="293">
        <f t="shared" si="7"/>
        <v>12.18</v>
      </c>
      <c r="L135" s="164"/>
      <c r="N135" s="177">
        <v>2.55</v>
      </c>
      <c r="O135" s="170">
        <v>2.24</v>
      </c>
    </row>
    <row r="136" spans="1:15" s="165" customFormat="1" ht="12.75">
      <c r="A136" s="166" t="s">
        <v>556</v>
      </c>
      <c r="B136" s="166" t="s">
        <v>305</v>
      </c>
      <c r="C136" s="209" t="s">
        <v>304</v>
      </c>
      <c r="D136" s="166" t="s">
        <v>38</v>
      </c>
      <c r="E136" s="264">
        <v>4</v>
      </c>
      <c r="F136" s="282">
        <f>1.17+0.33+37.6</f>
        <v>39.1</v>
      </c>
      <c r="G136" s="282">
        <f>0.67+0.65+3.21+4.72</f>
        <v>9.25</v>
      </c>
      <c r="H136" s="293">
        <f t="shared" si="4"/>
        <v>48.35</v>
      </c>
      <c r="I136" s="293">
        <f t="shared" si="5"/>
        <v>156.4</v>
      </c>
      <c r="J136" s="293">
        <f t="shared" si="6"/>
        <v>37</v>
      </c>
      <c r="K136" s="293">
        <f t="shared" si="7"/>
        <v>193.4</v>
      </c>
      <c r="L136" s="164"/>
      <c r="N136" s="177">
        <v>4.19</v>
      </c>
      <c r="O136" s="170">
        <v>2.24</v>
      </c>
    </row>
    <row r="137" spans="1:15" s="165" customFormat="1" ht="12.75">
      <c r="A137" s="166" t="s">
        <v>557</v>
      </c>
      <c r="B137" s="166" t="s">
        <v>307</v>
      </c>
      <c r="C137" s="209" t="s">
        <v>306</v>
      </c>
      <c r="D137" s="166" t="s">
        <v>38</v>
      </c>
      <c r="E137" s="264">
        <v>2</v>
      </c>
      <c r="F137" s="282">
        <f>2.25+0.07+122.16</f>
        <v>124.48</v>
      </c>
      <c r="G137" s="282">
        <f>5.74+3.9+0.82+0.8</f>
        <v>11.26</v>
      </c>
      <c r="H137" s="293">
        <f t="shared" si="4"/>
        <v>135.74</v>
      </c>
      <c r="I137" s="293">
        <f t="shared" si="5"/>
        <v>248.96</v>
      </c>
      <c r="J137" s="293">
        <f t="shared" si="6"/>
        <v>22.52</v>
      </c>
      <c r="K137" s="293">
        <f t="shared" si="7"/>
        <v>271.48</v>
      </c>
      <c r="L137" s="164"/>
      <c r="N137" s="177">
        <v>4.97</v>
      </c>
      <c r="O137" s="170">
        <v>2.24</v>
      </c>
    </row>
    <row r="138" spans="1:15" s="165" customFormat="1" ht="13.5">
      <c r="A138" s="166" t="s">
        <v>558</v>
      </c>
      <c r="B138" s="166" t="s">
        <v>309</v>
      </c>
      <c r="C138" s="317" t="s">
        <v>308</v>
      </c>
      <c r="D138" s="166" t="s">
        <v>38</v>
      </c>
      <c r="E138" s="264">
        <v>1</v>
      </c>
      <c r="F138" s="282">
        <f>0.15+2.99</f>
        <v>3.14</v>
      </c>
      <c r="G138" s="282">
        <f>1.91+2.81+0.39+0.4</f>
        <v>5.51</v>
      </c>
      <c r="H138" s="293">
        <f t="shared" si="4"/>
        <v>8.65</v>
      </c>
      <c r="I138" s="293">
        <f t="shared" si="5"/>
        <v>3.14</v>
      </c>
      <c r="J138" s="293">
        <f t="shared" si="6"/>
        <v>5.51</v>
      </c>
      <c r="K138" s="293">
        <f t="shared" si="7"/>
        <v>8.65</v>
      </c>
      <c r="L138" s="164"/>
      <c r="N138" s="177">
        <v>0.56</v>
      </c>
      <c r="O138" s="170">
        <v>2.88</v>
      </c>
    </row>
    <row r="139" spans="1:15" s="165" customFormat="1" ht="12.75">
      <c r="A139" s="166" t="s">
        <v>559</v>
      </c>
      <c r="B139" s="166" t="s">
        <v>311</v>
      </c>
      <c r="C139" s="209" t="s">
        <v>310</v>
      </c>
      <c r="D139" s="166" t="s">
        <v>38</v>
      </c>
      <c r="E139" s="264">
        <v>11</v>
      </c>
      <c r="F139" s="282">
        <f>0.09+1.24</f>
        <v>1.33</v>
      </c>
      <c r="G139" s="282">
        <f>2.81+1.91+0.4+0.39</f>
        <v>5.51</v>
      </c>
      <c r="H139" s="293">
        <f t="shared" si="4"/>
        <v>6.84</v>
      </c>
      <c r="I139" s="293">
        <f t="shared" si="5"/>
        <v>14.63</v>
      </c>
      <c r="J139" s="293">
        <f t="shared" si="6"/>
        <v>60.61</v>
      </c>
      <c r="K139" s="293">
        <f t="shared" si="7"/>
        <v>75.24</v>
      </c>
      <c r="L139" s="164"/>
      <c r="N139" s="177">
        <v>0.86</v>
      </c>
      <c r="O139" s="170">
        <v>2.88</v>
      </c>
    </row>
    <row r="140" spans="1:15" s="165" customFormat="1" ht="12.75">
      <c r="A140" s="166" t="s">
        <v>560</v>
      </c>
      <c r="B140" s="166" t="s">
        <v>313</v>
      </c>
      <c r="C140" s="209" t="s">
        <v>312</v>
      </c>
      <c r="D140" s="166" t="s">
        <v>38</v>
      </c>
      <c r="E140" s="264">
        <v>6</v>
      </c>
      <c r="F140" s="282">
        <f>0.12+1.78</f>
        <v>1.9</v>
      </c>
      <c r="G140" s="282">
        <f>2.81+1.91+0.4+0.39</f>
        <v>5.51</v>
      </c>
      <c r="H140" s="293">
        <f t="shared" si="4"/>
        <v>7.41</v>
      </c>
      <c r="I140" s="293">
        <f t="shared" si="5"/>
        <v>11.4</v>
      </c>
      <c r="J140" s="293">
        <f t="shared" si="6"/>
        <v>33.06</v>
      </c>
      <c r="K140" s="293">
        <f t="shared" si="7"/>
        <v>44.46</v>
      </c>
      <c r="L140" s="164"/>
      <c r="N140" s="177">
        <v>1.55</v>
      </c>
      <c r="O140" s="170">
        <v>2.88</v>
      </c>
    </row>
    <row r="141" spans="1:15" s="165" customFormat="1" ht="12.75">
      <c r="A141" s="166" t="s">
        <v>561</v>
      </c>
      <c r="B141" s="166" t="s">
        <v>315</v>
      </c>
      <c r="C141" s="209" t="s">
        <v>314</v>
      </c>
      <c r="D141" s="166" t="s">
        <v>38</v>
      </c>
      <c r="E141" s="264">
        <v>1</v>
      </c>
      <c r="F141" s="282">
        <f>0.22+0.07+0.33</f>
        <v>0.62</v>
      </c>
      <c r="G141" s="282">
        <f>2.3+1.56+0.33+0.32</f>
        <v>4.51</v>
      </c>
      <c r="H141" s="293">
        <f t="shared" si="4"/>
        <v>5.13</v>
      </c>
      <c r="I141" s="293">
        <f t="shared" si="5"/>
        <v>0.62</v>
      </c>
      <c r="J141" s="293">
        <f t="shared" si="6"/>
        <v>4.51</v>
      </c>
      <c r="K141" s="293">
        <f t="shared" si="7"/>
        <v>5.13</v>
      </c>
      <c r="L141" s="164"/>
      <c r="N141" s="177">
        <v>3.52</v>
      </c>
      <c r="O141" s="170">
        <v>4.48</v>
      </c>
    </row>
    <row r="142" spans="1:15" s="165" customFormat="1" ht="12.75">
      <c r="A142" s="166" t="s">
        <v>562</v>
      </c>
      <c r="B142" s="166" t="s">
        <v>319</v>
      </c>
      <c r="C142" s="209" t="s">
        <v>318</v>
      </c>
      <c r="D142" s="166" t="s">
        <v>38</v>
      </c>
      <c r="E142" s="264">
        <v>1</v>
      </c>
      <c r="F142" s="282">
        <f>0.27+0.07+0.5</f>
        <v>0.84</v>
      </c>
      <c r="G142" s="282">
        <f>0.33+0.32+2.3+1.56</f>
        <v>4.51</v>
      </c>
      <c r="H142" s="293">
        <f t="shared" si="4"/>
        <v>5.35</v>
      </c>
      <c r="I142" s="293">
        <f t="shared" si="5"/>
        <v>0.84</v>
      </c>
      <c r="J142" s="293">
        <f t="shared" si="6"/>
        <v>4.51</v>
      </c>
      <c r="K142" s="293">
        <f t="shared" si="7"/>
        <v>5.35</v>
      </c>
      <c r="L142" s="164"/>
      <c r="N142" s="177">
        <v>4.32</v>
      </c>
      <c r="O142" s="170">
        <v>4.48</v>
      </c>
    </row>
    <row r="143" spans="1:15" s="165" customFormat="1" ht="12.75">
      <c r="A143" s="166" t="s">
        <v>563</v>
      </c>
      <c r="B143" s="166" t="s">
        <v>320</v>
      </c>
      <c r="C143" s="209" t="s">
        <v>316</v>
      </c>
      <c r="D143" s="166" t="s">
        <v>38</v>
      </c>
      <c r="E143" s="264">
        <v>2</v>
      </c>
      <c r="F143" s="282">
        <f>0.36+0.1+1.3</f>
        <v>1.76</v>
      </c>
      <c r="G143" s="282">
        <f>0.33+0.32+2.3+1.56</f>
        <v>4.51</v>
      </c>
      <c r="H143" s="293">
        <f t="shared" si="4"/>
        <v>6.27</v>
      </c>
      <c r="I143" s="293">
        <f t="shared" si="5"/>
        <v>3.52</v>
      </c>
      <c r="J143" s="293">
        <f t="shared" si="6"/>
        <v>9.02</v>
      </c>
      <c r="K143" s="293">
        <f t="shared" si="7"/>
        <v>12.54</v>
      </c>
      <c r="L143" s="164"/>
      <c r="N143" s="177">
        <v>16.54</v>
      </c>
      <c r="O143" s="170">
        <v>4.48</v>
      </c>
    </row>
    <row r="144" spans="1:15" s="165" customFormat="1" ht="12.75">
      <c r="A144" s="166" t="s">
        <v>564</v>
      </c>
      <c r="B144" s="166" t="s">
        <v>321</v>
      </c>
      <c r="C144" s="209" t="s">
        <v>317</v>
      </c>
      <c r="D144" s="166" t="s">
        <v>38</v>
      </c>
      <c r="E144" s="264">
        <v>1</v>
      </c>
      <c r="F144" s="282">
        <f>2.25+0.07+133.62</f>
        <v>135.94</v>
      </c>
      <c r="G144" s="282">
        <f>0.82+0.8+5.74+3.9</f>
        <v>11.26</v>
      </c>
      <c r="H144" s="293">
        <f t="shared" si="4"/>
        <v>147.2</v>
      </c>
      <c r="I144" s="293">
        <f t="shared" si="5"/>
        <v>135.94</v>
      </c>
      <c r="J144" s="293">
        <f t="shared" si="6"/>
        <v>11.26</v>
      </c>
      <c r="K144" s="293">
        <f t="shared" si="7"/>
        <v>147.2</v>
      </c>
      <c r="L144" s="164"/>
      <c r="N144" s="177">
        <v>4.19</v>
      </c>
      <c r="O144" s="170">
        <v>2.88</v>
      </c>
    </row>
    <row r="145" spans="1:15" s="165" customFormat="1" ht="12.75">
      <c r="A145" s="166" t="s">
        <v>565</v>
      </c>
      <c r="B145" s="166" t="s">
        <v>323</v>
      </c>
      <c r="C145" s="209" t="s">
        <v>322</v>
      </c>
      <c r="D145" s="166" t="s">
        <v>38</v>
      </c>
      <c r="E145" s="264">
        <v>8</v>
      </c>
      <c r="F145" s="282">
        <f>0.16+3.16</f>
        <v>3.32</v>
      </c>
      <c r="G145" s="282">
        <f>2.81+1.91+0.4+0.39</f>
        <v>5.51</v>
      </c>
      <c r="H145" s="293">
        <f t="shared" si="4"/>
        <v>8.83</v>
      </c>
      <c r="I145" s="293">
        <f t="shared" si="5"/>
        <v>26.56</v>
      </c>
      <c r="J145" s="293">
        <f t="shared" si="6"/>
        <v>44.08</v>
      </c>
      <c r="K145" s="293">
        <f t="shared" si="7"/>
        <v>70.64</v>
      </c>
      <c r="L145" s="164"/>
      <c r="N145" s="177">
        <v>4.21</v>
      </c>
      <c r="O145" s="170">
        <v>2.88</v>
      </c>
    </row>
    <row r="146" spans="1:15" s="165" customFormat="1" ht="12.75">
      <c r="A146" s="166" t="s">
        <v>566</v>
      </c>
      <c r="B146" s="166" t="s">
        <v>325</v>
      </c>
      <c r="C146" s="209" t="s">
        <v>324</v>
      </c>
      <c r="D146" s="166" t="s">
        <v>38</v>
      </c>
      <c r="E146" s="264">
        <v>1</v>
      </c>
      <c r="F146" s="282">
        <f>2.56</f>
        <v>2.56</v>
      </c>
      <c r="G146" s="282">
        <f>2.95+1.81</f>
        <v>4.76</v>
      </c>
      <c r="H146" s="293">
        <f t="shared" si="4"/>
        <v>7.32</v>
      </c>
      <c r="I146" s="293">
        <f t="shared" si="5"/>
        <v>2.56</v>
      </c>
      <c r="J146" s="293">
        <f t="shared" si="6"/>
        <v>4.76</v>
      </c>
      <c r="K146" s="293">
        <f t="shared" si="7"/>
        <v>7.32</v>
      </c>
      <c r="L146" s="164"/>
      <c r="N146" s="177">
        <v>5.06</v>
      </c>
      <c r="O146" s="170">
        <v>2.88</v>
      </c>
    </row>
    <row r="147" spans="1:15" s="165" customFormat="1" ht="12.75">
      <c r="A147" s="166" t="s">
        <v>567</v>
      </c>
      <c r="B147" s="166" t="s">
        <v>326</v>
      </c>
      <c r="C147" s="209" t="s">
        <v>327</v>
      </c>
      <c r="D147" s="166" t="s">
        <v>38</v>
      </c>
      <c r="E147" s="264">
        <v>3</v>
      </c>
      <c r="F147" s="282">
        <f>0.21+5.34</f>
        <v>5.55</v>
      </c>
      <c r="G147" s="282">
        <f>1.99+2.93+0.42+0.41</f>
        <v>5.75</v>
      </c>
      <c r="H147" s="293">
        <f t="shared" si="4"/>
        <v>11.3</v>
      </c>
      <c r="I147" s="293">
        <f t="shared" si="5"/>
        <v>16.65</v>
      </c>
      <c r="J147" s="293">
        <f t="shared" si="6"/>
        <v>17.25</v>
      </c>
      <c r="K147" s="293">
        <f t="shared" si="7"/>
        <v>33.9</v>
      </c>
      <c r="L147" s="164"/>
      <c r="N147" s="177">
        <v>0.75</v>
      </c>
      <c r="O147" s="170">
        <v>1.44</v>
      </c>
    </row>
    <row r="148" spans="1:15" s="165" customFormat="1" ht="25.5">
      <c r="A148" s="166" t="s">
        <v>568</v>
      </c>
      <c r="B148" s="166" t="s">
        <v>328</v>
      </c>
      <c r="C148" s="208" t="s">
        <v>329</v>
      </c>
      <c r="D148" s="166" t="s">
        <v>38</v>
      </c>
      <c r="E148" s="264">
        <v>4</v>
      </c>
      <c r="F148" s="282">
        <f>0.62+0.93+0.59+0.03</f>
        <v>2.17</v>
      </c>
      <c r="G148" s="282">
        <f>1.37+1.76</f>
        <v>3.13</v>
      </c>
      <c r="H148" s="293">
        <f t="shared" si="4"/>
        <v>5.3</v>
      </c>
      <c r="I148" s="293">
        <f t="shared" si="5"/>
        <v>8.68</v>
      </c>
      <c r="J148" s="293">
        <f t="shared" si="6"/>
        <v>12.52</v>
      </c>
      <c r="K148" s="293">
        <f t="shared" si="7"/>
        <v>21.2</v>
      </c>
      <c r="L148" s="164"/>
      <c r="N148" s="177">
        <v>0.99</v>
      </c>
      <c r="O148" s="170">
        <v>1.44</v>
      </c>
    </row>
    <row r="149" spans="1:15" s="165" customFormat="1" ht="12.75">
      <c r="A149" s="166" t="s">
        <v>569</v>
      </c>
      <c r="B149" s="166" t="s">
        <v>338</v>
      </c>
      <c r="C149" s="209" t="s">
        <v>337</v>
      </c>
      <c r="D149" s="166" t="s">
        <v>63</v>
      </c>
      <c r="E149" s="264">
        <v>3</v>
      </c>
      <c r="F149" s="282">
        <f>0.36+0.05+12.17</f>
        <v>12.58</v>
      </c>
      <c r="G149" s="282">
        <f>1.53+1.04+0.22+0.21</f>
        <v>3</v>
      </c>
      <c r="H149" s="293">
        <f t="shared" si="4"/>
        <v>15.58</v>
      </c>
      <c r="I149" s="293">
        <f t="shared" si="5"/>
        <v>37.74</v>
      </c>
      <c r="J149" s="293">
        <f t="shared" si="6"/>
        <v>9</v>
      </c>
      <c r="K149" s="293">
        <f t="shared" si="7"/>
        <v>46.74</v>
      </c>
      <c r="L149" s="164"/>
      <c r="N149" s="177"/>
      <c r="O149" s="170"/>
    </row>
    <row r="150" spans="1:15" s="165" customFormat="1" ht="25.5">
      <c r="A150" s="166" t="s">
        <v>570</v>
      </c>
      <c r="B150" s="166" t="s">
        <v>340</v>
      </c>
      <c r="C150" s="209" t="s">
        <v>339</v>
      </c>
      <c r="D150" s="166" t="s">
        <v>63</v>
      </c>
      <c r="E150" s="264">
        <v>3</v>
      </c>
      <c r="F150" s="282">
        <f>7.43</f>
        <v>7.43</v>
      </c>
      <c r="G150" s="282">
        <f>2.21+2.86</f>
        <v>5.07</v>
      </c>
      <c r="H150" s="293">
        <f t="shared" si="4"/>
        <v>12.5</v>
      </c>
      <c r="I150" s="293">
        <f t="shared" si="5"/>
        <v>22.29</v>
      </c>
      <c r="J150" s="293">
        <f t="shared" si="6"/>
        <v>15.21</v>
      </c>
      <c r="K150" s="293">
        <f t="shared" si="7"/>
        <v>37.5</v>
      </c>
      <c r="L150" s="164"/>
      <c r="N150" s="177"/>
      <c r="O150" s="170"/>
    </row>
    <row r="151" spans="1:15" s="165" customFormat="1" ht="12.75">
      <c r="A151" s="166" t="s">
        <v>571</v>
      </c>
      <c r="B151" s="166" t="s">
        <v>342</v>
      </c>
      <c r="C151" s="209" t="s">
        <v>341</v>
      </c>
      <c r="D151" s="166" t="s">
        <v>63</v>
      </c>
      <c r="E151" s="264">
        <f>12</f>
        <v>12</v>
      </c>
      <c r="F151" s="282">
        <f>0.06+4.17</f>
        <v>4.23</v>
      </c>
      <c r="G151" s="282">
        <f>1.91+1.3+0.27+0.27</f>
        <v>3.75</v>
      </c>
      <c r="H151" s="293">
        <f t="shared" si="4"/>
        <v>7.98</v>
      </c>
      <c r="I151" s="293">
        <f t="shared" si="5"/>
        <v>50.76</v>
      </c>
      <c r="J151" s="293">
        <f t="shared" si="6"/>
        <v>45</v>
      </c>
      <c r="K151" s="293">
        <f t="shared" si="7"/>
        <v>95.76</v>
      </c>
      <c r="L151" s="164"/>
      <c r="N151" s="177"/>
      <c r="O151" s="170"/>
    </row>
    <row r="152" spans="1:15" s="165" customFormat="1" ht="12.75">
      <c r="A152" s="166" t="s">
        <v>572</v>
      </c>
      <c r="B152" s="166" t="s">
        <v>350</v>
      </c>
      <c r="C152" s="209" t="s">
        <v>343</v>
      </c>
      <c r="D152" s="166" t="s">
        <v>63</v>
      </c>
      <c r="E152" s="264">
        <v>42</v>
      </c>
      <c r="F152" s="282">
        <f>0.08+8.15</f>
        <v>8.23</v>
      </c>
      <c r="G152" s="282">
        <f>2.04+1.39+0.29+0.28</f>
        <v>4</v>
      </c>
      <c r="H152" s="293">
        <f t="shared" si="4"/>
        <v>12.23</v>
      </c>
      <c r="I152" s="293">
        <f t="shared" si="5"/>
        <v>345.66</v>
      </c>
      <c r="J152" s="293">
        <f t="shared" si="6"/>
        <v>168</v>
      </c>
      <c r="K152" s="293">
        <f t="shared" si="7"/>
        <v>513.66</v>
      </c>
      <c r="L152" s="164"/>
      <c r="N152" s="177"/>
      <c r="O152" s="170"/>
    </row>
    <row r="153" spans="1:15" s="165" customFormat="1" ht="12.75">
      <c r="A153" s="166" t="s">
        <v>131</v>
      </c>
      <c r="B153" s="166" t="s">
        <v>351</v>
      </c>
      <c r="C153" s="209" t="s">
        <v>344</v>
      </c>
      <c r="D153" s="166" t="s">
        <v>63</v>
      </c>
      <c r="E153" s="264">
        <f>18</f>
        <v>18</v>
      </c>
      <c r="F153" s="282">
        <f>0.1+10.85</f>
        <v>10.95</v>
      </c>
      <c r="G153" s="282">
        <f>3.06+2.08+0.44+0.42</f>
        <v>6</v>
      </c>
      <c r="H153" s="293">
        <f t="shared" si="4"/>
        <v>16.95</v>
      </c>
      <c r="I153" s="293">
        <f t="shared" si="5"/>
        <v>197.1</v>
      </c>
      <c r="J153" s="293">
        <f t="shared" si="6"/>
        <v>108</v>
      </c>
      <c r="K153" s="293">
        <f t="shared" si="7"/>
        <v>305.1</v>
      </c>
      <c r="L153" s="164"/>
      <c r="N153" s="177"/>
      <c r="O153" s="170"/>
    </row>
    <row r="154" spans="1:15" s="165" customFormat="1" ht="12.75">
      <c r="A154" s="166" t="s">
        <v>132</v>
      </c>
      <c r="B154" s="166" t="s">
        <v>352</v>
      </c>
      <c r="C154" s="209" t="s">
        <v>345</v>
      </c>
      <c r="D154" s="166" t="s">
        <v>63</v>
      </c>
      <c r="E154" s="264">
        <v>36</v>
      </c>
      <c r="F154" s="282">
        <f>0.12+13.49</f>
        <v>13.61</v>
      </c>
      <c r="G154" s="282">
        <f>3.7+2.51+0.53+0.51</f>
        <v>7.25</v>
      </c>
      <c r="H154" s="293">
        <f t="shared" si="4"/>
        <v>20.86</v>
      </c>
      <c r="I154" s="293">
        <f t="shared" si="5"/>
        <v>489.96</v>
      </c>
      <c r="J154" s="293">
        <f t="shared" si="6"/>
        <v>261</v>
      </c>
      <c r="K154" s="293">
        <f t="shared" si="7"/>
        <v>750.96</v>
      </c>
      <c r="L154" s="164"/>
      <c r="N154" s="177"/>
      <c r="O154" s="170"/>
    </row>
    <row r="155" spans="1:15" s="165" customFormat="1" ht="12.75">
      <c r="A155" s="166" t="s">
        <v>133</v>
      </c>
      <c r="B155" s="166" t="s">
        <v>353</v>
      </c>
      <c r="C155" s="209" t="s">
        <v>346</v>
      </c>
      <c r="D155" s="166" t="s">
        <v>63</v>
      </c>
      <c r="E155" s="264">
        <v>24</v>
      </c>
      <c r="F155" s="282">
        <f>0.14+19.31</f>
        <v>19.45</v>
      </c>
      <c r="G155" s="282">
        <f>4.59+3.12+0.66+0.64</f>
        <v>9.01</v>
      </c>
      <c r="H155" s="293">
        <f t="shared" si="4"/>
        <v>28.46</v>
      </c>
      <c r="I155" s="293">
        <f t="shared" si="5"/>
        <v>466.8</v>
      </c>
      <c r="J155" s="293">
        <f t="shared" si="6"/>
        <v>216.24</v>
      </c>
      <c r="K155" s="293">
        <f t="shared" si="7"/>
        <v>683.04</v>
      </c>
      <c r="L155" s="164"/>
      <c r="N155" s="177"/>
      <c r="O155" s="170"/>
    </row>
    <row r="156" spans="1:15" s="165" customFormat="1" ht="12.75">
      <c r="A156" s="166" t="s">
        <v>134</v>
      </c>
      <c r="B156" s="166" t="s">
        <v>354</v>
      </c>
      <c r="C156" s="209" t="s">
        <v>347</v>
      </c>
      <c r="D156" s="166" t="s">
        <v>63</v>
      </c>
      <c r="E156" s="264">
        <f>24</f>
        <v>24</v>
      </c>
      <c r="F156" s="282">
        <f>0.18+32.12</f>
        <v>32.3</v>
      </c>
      <c r="G156" s="282">
        <f>6.25+4.25+0.89+0.87</f>
        <v>12.26</v>
      </c>
      <c r="H156" s="293">
        <f t="shared" si="4"/>
        <v>44.56</v>
      </c>
      <c r="I156" s="293">
        <f t="shared" si="5"/>
        <v>775.2</v>
      </c>
      <c r="J156" s="293">
        <f t="shared" si="6"/>
        <v>294.24</v>
      </c>
      <c r="K156" s="293">
        <f t="shared" si="7"/>
        <v>1069.44</v>
      </c>
      <c r="L156" s="164"/>
      <c r="N156" s="177"/>
      <c r="O156" s="170"/>
    </row>
    <row r="157" spans="1:15" s="165" customFormat="1" ht="12.75">
      <c r="A157" s="166" t="s">
        <v>135</v>
      </c>
      <c r="B157" s="166" t="s">
        <v>349</v>
      </c>
      <c r="C157" s="209" t="s">
        <v>348</v>
      </c>
      <c r="D157" s="166" t="s">
        <v>63</v>
      </c>
      <c r="E157" s="264">
        <v>36</v>
      </c>
      <c r="F157" s="282">
        <f>0.26+49.16</f>
        <v>49.42</v>
      </c>
      <c r="G157" s="282">
        <f>8.04+5.46+1.15+1.12</f>
        <v>15.77</v>
      </c>
      <c r="H157" s="293">
        <f>F157+G157</f>
        <v>65.19</v>
      </c>
      <c r="I157" s="293">
        <f>E157*F157</f>
        <v>1779.12</v>
      </c>
      <c r="J157" s="293">
        <f>E157*G157</f>
        <v>567.72</v>
      </c>
      <c r="K157" s="293">
        <f>I157+J157</f>
        <v>2346.84</v>
      </c>
      <c r="L157" s="164"/>
      <c r="N157" s="177"/>
      <c r="O157" s="170"/>
    </row>
    <row r="158" spans="1:15" s="165" customFormat="1" ht="12.75">
      <c r="A158" s="370"/>
      <c r="B158" s="241"/>
      <c r="C158" s="242" t="s">
        <v>29</v>
      </c>
      <c r="D158" s="241"/>
      <c r="E158" s="266"/>
      <c r="F158" s="300"/>
      <c r="G158" s="300"/>
      <c r="H158" s="300"/>
      <c r="I158" s="300"/>
      <c r="J158" s="300"/>
      <c r="K158" s="300"/>
      <c r="L158" s="243">
        <f>SUM(K132:K157)</f>
        <v>6773.31</v>
      </c>
      <c r="M158" s="244"/>
      <c r="N158" s="168"/>
      <c r="O158" s="163"/>
    </row>
    <row r="159" spans="1:15" s="165" customFormat="1" ht="12.75">
      <c r="A159" s="160" t="s">
        <v>136</v>
      </c>
      <c r="B159" s="160"/>
      <c r="C159" s="161" t="s">
        <v>30</v>
      </c>
      <c r="D159" s="166"/>
      <c r="E159" s="264"/>
      <c r="F159" s="301"/>
      <c r="G159" s="299"/>
      <c r="H159" s="299"/>
      <c r="I159" s="299"/>
      <c r="J159" s="299"/>
      <c r="K159" s="299"/>
      <c r="L159" s="164"/>
      <c r="N159" s="177">
        <v>54</v>
      </c>
      <c r="O159" s="170">
        <v>9.76</v>
      </c>
    </row>
    <row r="160" spans="1:15" s="165" customFormat="1" ht="25.5">
      <c r="A160" s="166" t="s">
        <v>137</v>
      </c>
      <c r="B160" s="166" t="s">
        <v>332</v>
      </c>
      <c r="C160" s="208" t="s">
        <v>367</v>
      </c>
      <c r="D160" s="166" t="s">
        <v>38</v>
      </c>
      <c r="E160" s="264">
        <v>1</v>
      </c>
      <c r="F160" s="282">
        <f>0.14+66.12</f>
        <v>66.26</v>
      </c>
      <c r="G160" s="282">
        <f>3.95+6.6</f>
        <v>10.55</v>
      </c>
      <c r="H160" s="293">
        <f>F160+G160</f>
        <v>76.81</v>
      </c>
      <c r="I160" s="293">
        <f>E160*F160</f>
        <v>66.26</v>
      </c>
      <c r="J160" s="293">
        <f>E160*G160</f>
        <v>10.55</v>
      </c>
      <c r="K160" s="293">
        <f>I160+J160</f>
        <v>76.81</v>
      </c>
      <c r="L160" s="164"/>
      <c r="N160" s="177">
        <v>54.11</v>
      </c>
      <c r="O160" s="170">
        <v>9.76</v>
      </c>
    </row>
    <row r="161" spans="1:15" s="165" customFormat="1" ht="25.5">
      <c r="A161" s="166" t="s">
        <v>138</v>
      </c>
      <c r="B161" s="166" t="s">
        <v>331</v>
      </c>
      <c r="C161" s="208" t="s">
        <v>366</v>
      </c>
      <c r="D161" s="166" t="s">
        <v>38</v>
      </c>
      <c r="E161" s="264">
        <v>1</v>
      </c>
      <c r="F161" s="282">
        <f>0.14+66.12</f>
        <v>66.26</v>
      </c>
      <c r="G161" s="282">
        <f>3.96+6.6</f>
        <v>10.56</v>
      </c>
      <c r="H161" s="293">
        <f>F161+G161</f>
        <v>76.82</v>
      </c>
      <c r="I161" s="293">
        <f>E161*F161</f>
        <v>66.26</v>
      </c>
      <c r="J161" s="293">
        <f>E161*G161</f>
        <v>10.56</v>
      </c>
      <c r="K161" s="293">
        <f>I161+J161</f>
        <v>76.82</v>
      </c>
      <c r="L161" s="164"/>
      <c r="N161" s="177">
        <v>64.55</v>
      </c>
      <c r="O161" s="170">
        <v>9.76</v>
      </c>
    </row>
    <row r="162" spans="1:15" s="165" customFormat="1" ht="25.5">
      <c r="A162" s="166" t="s">
        <v>139</v>
      </c>
      <c r="B162" s="166" t="s">
        <v>333</v>
      </c>
      <c r="C162" s="208" t="s">
        <v>365</v>
      </c>
      <c r="D162" s="166" t="s">
        <v>38</v>
      </c>
      <c r="E162" s="264">
        <v>2</v>
      </c>
      <c r="F162" s="282">
        <f>0.14+28.74</f>
        <v>28.88</v>
      </c>
      <c r="G162" s="282">
        <f>3.43+4.4</f>
        <v>7.83</v>
      </c>
      <c r="H162" s="293">
        <f>F162+G162</f>
        <v>36.71</v>
      </c>
      <c r="I162" s="293">
        <f>E162*F162</f>
        <v>57.76</v>
      </c>
      <c r="J162" s="293">
        <f>E162*G162</f>
        <v>15.66</v>
      </c>
      <c r="K162" s="293">
        <f>I162+J162</f>
        <v>73.42</v>
      </c>
      <c r="L162" s="164"/>
      <c r="N162" s="177">
        <v>90.86</v>
      </c>
      <c r="O162" s="170">
        <v>15.2</v>
      </c>
    </row>
    <row r="163" spans="1:15" s="165" customFormat="1" ht="38.25">
      <c r="A163" s="166" t="s">
        <v>140</v>
      </c>
      <c r="B163" s="166" t="s">
        <v>334</v>
      </c>
      <c r="C163" s="208" t="s">
        <v>368</v>
      </c>
      <c r="D163" s="166" t="s">
        <v>38</v>
      </c>
      <c r="E163" s="264">
        <v>1</v>
      </c>
      <c r="F163" s="282">
        <f>0.1+85.82</f>
        <v>85.92</v>
      </c>
      <c r="G163" s="282">
        <f>13.3+17.06</f>
        <v>30.36</v>
      </c>
      <c r="H163" s="293">
        <f>F163+G163</f>
        <v>116.28</v>
      </c>
      <c r="I163" s="293">
        <f>E163*F163</f>
        <v>85.92</v>
      </c>
      <c r="J163" s="293">
        <f>E163*G163</f>
        <v>30.36</v>
      </c>
      <c r="K163" s="293">
        <f>I163+J163</f>
        <v>116.28</v>
      </c>
      <c r="L163" s="164"/>
      <c r="N163" s="177">
        <v>105.32</v>
      </c>
      <c r="O163" s="170">
        <v>15.2</v>
      </c>
    </row>
    <row r="164" spans="1:15" s="165" customFormat="1" ht="12.75">
      <c r="A164" s="241"/>
      <c r="B164" s="241"/>
      <c r="C164" s="242" t="s">
        <v>29</v>
      </c>
      <c r="D164" s="241"/>
      <c r="E164" s="266"/>
      <c r="F164" s="300"/>
      <c r="G164" s="300"/>
      <c r="H164" s="300"/>
      <c r="I164" s="300"/>
      <c r="J164" s="300"/>
      <c r="K164" s="300"/>
      <c r="L164" s="243">
        <f>SUM(K160:K163)</f>
        <v>343.33</v>
      </c>
      <c r="M164" s="244"/>
      <c r="N164" s="168"/>
      <c r="O164" s="163"/>
    </row>
    <row r="165" spans="1:15" s="165" customFormat="1" ht="12.75">
      <c r="A165" s="160" t="s">
        <v>141</v>
      </c>
      <c r="B165" s="160"/>
      <c r="C165" s="161" t="s">
        <v>31</v>
      </c>
      <c r="D165" s="162"/>
      <c r="E165" s="268"/>
      <c r="F165" s="299"/>
      <c r="G165" s="299"/>
      <c r="H165" s="293"/>
      <c r="I165" s="293"/>
      <c r="J165" s="293"/>
      <c r="K165" s="293"/>
      <c r="L165" s="164"/>
      <c r="N165" s="177">
        <v>20.91</v>
      </c>
      <c r="O165" s="170">
        <v>8.96</v>
      </c>
    </row>
    <row r="166" spans="1:15" s="165" customFormat="1" ht="25.5">
      <c r="A166" s="166" t="s">
        <v>142</v>
      </c>
      <c r="B166" s="166" t="s">
        <v>357</v>
      </c>
      <c r="C166" s="212" t="s">
        <v>387</v>
      </c>
      <c r="D166" s="166" t="s">
        <v>38</v>
      </c>
      <c r="E166" s="264">
        <v>4</v>
      </c>
      <c r="F166" s="282">
        <f>0.56+0.68+0.74+0.03</f>
        <v>2.01</v>
      </c>
      <c r="G166" s="282">
        <f>2.2+1.71</f>
        <v>3.91</v>
      </c>
      <c r="H166" s="293">
        <f aca="true" t="shared" si="8" ref="H166:H175">F166+G166</f>
        <v>5.92</v>
      </c>
      <c r="I166" s="293">
        <f aca="true" t="shared" si="9" ref="I166:I175">E166*F166</f>
        <v>8.04</v>
      </c>
      <c r="J166" s="293">
        <f aca="true" t="shared" si="10" ref="J166:J175">E166*G166</f>
        <v>15.64</v>
      </c>
      <c r="K166" s="293">
        <f aca="true" t="shared" si="11" ref="K166:K175">I166+J166</f>
        <v>23.68</v>
      </c>
      <c r="L166" s="164"/>
      <c r="N166" s="177"/>
      <c r="O166" s="170"/>
    </row>
    <row r="167" spans="1:15" s="165" customFormat="1" ht="25.5">
      <c r="A167" s="166" t="s">
        <v>167</v>
      </c>
      <c r="B167" s="166" t="s">
        <v>358</v>
      </c>
      <c r="C167" s="212" t="s">
        <v>369</v>
      </c>
      <c r="D167" s="166" t="s">
        <v>38</v>
      </c>
      <c r="E167" s="264">
        <v>4</v>
      </c>
      <c r="F167" s="282">
        <f>1.19+2.04+0.41</f>
        <v>3.64</v>
      </c>
      <c r="G167" s="282">
        <f>2.23+2.86</f>
        <v>5.09</v>
      </c>
      <c r="H167" s="293">
        <f t="shared" si="8"/>
        <v>8.73</v>
      </c>
      <c r="I167" s="293">
        <f t="shared" si="9"/>
        <v>14.56</v>
      </c>
      <c r="J167" s="293">
        <f t="shared" si="10"/>
        <v>20.36</v>
      </c>
      <c r="K167" s="293">
        <f t="shared" si="11"/>
        <v>34.92</v>
      </c>
      <c r="L167" s="164"/>
      <c r="N167" s="177"/>
      <c r="O167" s="170"/>
    </row>
    <row r="168" spans="1:15" s="165" customFormat="1" ht="25.5">
      <c r="A168" s="166" t="s">
        <v>168</v>
      </c>
      <c r="B168" s="166" t="s">
        <v>360</v>
      </c>
      <c r="C168" s="212" t="s">
        <v>364</v>
      </c>
      <c r="D168" s="166" t="s">
        <v>38</v>
      </c>
      <c r="E168" s="264">
        <v>4</v>
      </c>
      <c r="F168" s="282">
        <f>1.68+4.83+0.62</f>
        <v>7.13</v>
      </c>
      <c r="G168" s="282">
        <f>3.26+4.18</f>
        <v>7.44</v>
      </c>
      <c r="H168" s="293">
        <f t="shared" si="8"/>
        <v>14.57</v>
      </c>
      <c r="I168" s="293">
        <f t="shared" si="9"/>
        <v>28.52</v>
      </c>
      <c r="J168" s="293">
        <f t="shared" si="10"/>
        <v>29.76</v>
      </c>
      <c r="K168" s="293">
        <f t="shared" si="11"/>
        <v>58.28</v>
      </c>
      <c r="L168" s="164"/>
      <c r="N168" s="177"/>
      <c r="O168" s="170"/>
    </row>
    <row r="169" spans="1:15" s="165" customFormat="1" ht="25.5">
      <c r="A169" s="166" t="s">
        <v>169</v>
      </c>
      <c r="B169" s="166" t="s">
        <v>361</v>
      </c>
      <c r="C169" s="212" t="s">
        <v>363</v>
      </c>
      <c r="D169" s="166" t="s">
        <v>38</v>
      </c>
      <c r="E169" s="264">
        <v>4</v>
      </c>
      <c r="F169" s="282">
        <f>2.11+5.38+0.96</f>
        <v>8.45</v>
      </c>
      <c r="G169" s="282">
        <f>4.29+5.5</f>
        <v>9.79</v>
      </c>
      <c r="H169" s="293">
        <f t="shared" si="8"/>
        <v>18.24</v>
      </c>
      <c r="I169" s="293">
        <f t="shared" si="9"/>
        <v>33.8</v>
      </c>
      <c r="J169" s="293">
        <f t="shared" si="10"/>
        <v>39.16</v>
      </c>
      <c r="K169" s="293">
        <f t="shared" si="11"/>
        <v>72.96</v>
      </c>
      <c r="L169" s="164"/>
      <c r="N169" s="177"/>
      <c r="O169" s="170"/>
    </row>
    <row r="170" spans="1:15" s="165" customFormat="1" ht="25.5">
      <c r="A170" s="166" t="s">
        <v>170</v>
      </c>
      <c r="B170" s="166" t="s">
        <v>370</v>
      </c>
      <c r="C170" s="212" t="s">
        <v>362</v>
      </c>
      <c r="D170" s="166" t="s">
        <v>38</v>
      </c>
      <c r="E170" s="264">
        <v>17</v>
      </c>
      <c r="F170" s="282">
        <f>0.56+2.38+0.74+0.03</f>
        <v>3.71</v>
      </c>
      <c r="G170" s="282">
        <f>1.71+2.2</f>
        <v>3.91</v>
      </c>
      <c r="H170" s="293">
        <f t="shared" si="8"/>
        <v>7.62</v>
      </c>
      <c r="I170" s="293">
        <f t="shared" si="9"/>
        <v>63.07</v>
      </c>
      <c r="J170" s="293">
        <f t="shared" si="10"/>
        <v>66.47</v>
      </c>
      <c r="K170" s="293">
        <f t="shared" si="11"/>
        <v>129.54</v>
      </c>
      <c r="L170" s="164"/>
      <c r="N170" s="177"/>
      <c r="O170" s="170"/>
    </row>
    <row r="171" spans="1:15" s="165" customFormat="1" ht="25.5">
      <c r="A171" s="166" t="s">
        <v>171</v>
      </c>
      <c r="B171" s="166" t="s">
        <v>371</v>
      </c>
      <c r="C171" s="212" t="s">
        <v>374</v>
      </c>
      <c r="D171" s="166" t="s">
        <v>38</v>
      </c>
      <c r="E171" s="264">
        <v>4</v>
      </c>
      <c r="F171" s="282">
        <f>1.19+1.64+0.41</f>
        <v>3.24</v>
      </c>
      <c r="G171" s="282">
        <f>2.23+2.86</f>
        <v>5.09</v>
      </c>
      <c r="H171" s="293">
        <f t="shared" si="8"/>
        <v>8.33</v>
      </c>
      <c r="I171" s="293">
        <f t="shared" si="9"/>
        <v>12.96</v>
      </c>
      <c r="J171" s="293">
        <f t="shared" si="10"/>
        <v>20.36</v>
      </c>
      <c r="K171" s="293">
        <f t="shared" si="11"/>
        <v>33.32</v>
      </c>
      <c r="L171" s="164"/>
      <c r="N171" s="177"/>
      <c r="O171" s="170"/>
    </row>
    <row r="172" spans="1:15" s="165" customFormat="1" ht="25.5">
      <c r="A172" s="166" t="s">
        <v>172</v>
      </c>
      <c r="B172" s="166" t="s">
        <v>372</v>
      </c>
      <c r="C172" s="212" t="s">
        <v>373</v>
      </c>
      <c r="D172" s="166" t="s">
        <v>38</v>
      </c>
      <c r="E172" s="264">
        <v>8</v>
      </c>
      <c r="F172" s="282">
        <f>1.68+4.26+0.62</f>
        <v>6.56</v>
      </c>
      <c r="G172" s="282">
        <f>3.26+4.18</f>
        <v>7.44</v>
      </c>
      <c r="H172" s="293">
        <f t="shared" si="8"/>
        <v>14</v>
      </c>
      <c r="I172" s="293">
        <f t="shared" si="9"/>
        <v>52.48</v>
      </c>
      <c r="J172" s="293">
        <f t="shared" si="10"/>
        <v>59.52</v>
      </c>
      <c r="K172" s="293">
        <f t="shared" si="11"/>
        <v>112</v>
      </c>
      <c r="L172" s="164"/>
      <c r="N172" s="177"/>
      <c r="O172" s="170"/>
    </row>
    <row r="173" spans="1:15" s="165" customFormat="1" ht="25.5">
      <c r="A173" s="166" t="s">
        <v>173</v>
      </c>
      <c r="B173" s="166" t="s">
        <v>375</v>
      </c>
      <c r="C173" s="212" t="s">
        <v>376</v>
      </c>
      <c r="D173" s="166" t="s">
        <v>38</v>
      </c>
      <c r="E173" s="264">
        <v>8</v>
      </c>
      <c r="F173" s="282">
        <f>2.11+5.41+0.96</f>
        <v>8.48</v>
      </c>
      <c r="G173" s="282">
        <f>4.29+5.5</f>
        <v>9.79</v>
      </c>
      <c r="H173" s="293">
        <f t="shared" si="8"/>
        <v>18.27</v>
      </c>
      <c r="I173" s="293">
        <f t="shared" si="9"/>
        <v>67.84</v>
      </c>
      <c r="J173" s="293">
        <f t="shared" si="10"/>
        <v>78.32</v>
      </c>
      <c r="K173" s="293">
        <f t="shared" si="11"/>
        <v>146.16</v>
      </c>
      <c r="L173" s="164"/>
      <c r="N173" s="177"/>
      <c r="O173" s="170"/>
    </row>
    <row r="174" spans="1:15" s="165" customFormat="1" ht="25.5">
      <c r="A174" s="166" t="s">
        <v>174</v>
      </c>
      <c r="B174" s="166" t="s">
        <v>377</v>
      </c>
      <c r="C174" s="212" t="s">
        <v>378</v>
      </c>
      <c r="D174" s="166" t="s">
        <v>38</v>
      </c>
      <c r="E174" s="264">
        <v>2</v>
      </c>
      <c r="F174" s="282">
        <f>3.36+10.8+1.25</f>
        <v>15.41</v>
      </c>
      <c r="G174" s="282">
        <f>4.29+5.5</f>
        <v>9.79</v>
      </c>
      <c r="H174" s="293">
        <f t="shared" si="8"/>
        <v>25.2</v>
      </c>
      <c r="I174" s="293">
        <f t="shared" si="9"/>
        <v>30.82</v>
      </c>
      <c r="J174" s="293">
        <f t="shared" si="10"/>
        <v>19.58</v>
      </c>
      <c r="K174" s="293">
        <f t="shared" si="11"/>
        <v>50.4</v>
      </c>
      <c r="L174" s="164"/>
      <c r="N174" s="177"/>
      <c r="O174" s="170"/>
    </row>
    <row r="175" spans="1:15" s="165" customFormat="1" ht="25.5">
      <c r="A175" s="166" t="s">
        <v>175</v>
      </c>
      <c r="B175" s="166" t="s">
        <v>379</v>
      </c>
      <c r="C175" s="212" t="s">
        <v>380</v>
      </c>
      <c r="D175" s="166" t="s">
        <v>38</v>
      </c>
      <c r="E175" s="264">
        <v>4</v>
      </c>
      <c r="F175" s="282">
        <f>1.92+2.11+1.92+35.69</f>
        <v>41.64</v>
      </c>
      <c r="G175" s="282">
        <f>2.23+2.86</f>
        <v>5.09</v>
      </c>
      <c r="H175" s="293">
        <f t="shared" si="8"/>
        <v>46.73</v>
      </c>
      <c r="I175" s="293">
        <f t="shared" si="9"/>
        <v>166.56</v>
      </c>
      <c r="J175" s="293">
        <f t="shared" si="10"/>
        <v>20.36</v>
      </c>
      <c r="K175" s="293">
        <f t="shared" si="11"/>
        <v>186.92</v>
      </c>
      <c r="L175" s="164"/>
      <c r="N175" s="177"/>
      <c r="O175" s="170"/>
    </row>
    <row r="176" spans="1:15" s="165" customFormat="1" ht="25.5">
      <c r="A176" s="166" t="s">
        <v>573</v>
      </c>
      <c r="B176" s="166" t="s">
        <v>382</v>
      </c>
      <c r="C176" s="212" t="s">
        <v>381</v>
      </c>
      <c r="D176" s="166" t="s">
        <v>38</v>
      </c>
      <c r="E176" s="264">
        <v>8</v>
      </c>
      <c r="F176" s="282">
        <f>1.19+1.88+0.41</f>
        <v>3.48</v>
      </c>
      <c r="G176" s="282">
        <v>3.13</v>
      </c>
      <c r="H176" s="293">
        <f aca="true" t="shared" si="12" ref="H176:H183">F176+G176</f>
        <v>6.61</v>
      </c>
      <c r="I176" s="293">
        <f aca="true" t="shared" si="13" ref="I176:I183">E176*F176</f>
        <v>27.84</v>
      </c>
      <c r="J176" s="293">
        <f aca="true" t="shared" si="14" ref="J176:J183">E176*G176</f>
        <v>25.04</v>
      </c>
      <c r="K176" s="293">
        <f aca="true" t="shared" si="15" ref="K176:K183">I176+J176</f>
        <v>52.88</v>
      </c>
      <c r="L176" s="164"/>
      <c r="N176" s="177"/>
      <c r="O176" s="170"/>
    </row>
    <row r="177" spans="1:15" s="165" customFormat="1" ht="25.5">
      <c r="A177" s="166" t="s">
        <v>574</v>
      </c>
      <c r="B177" s="166" t="s">
        <v>384</v>
      </c>
      <c r="C177" s="212" t="s">
        <v>383</v>
      </c>
      <c r="D177" s="166" t="s">
        <v>38</v>
      </c>
      <c r="E177" s="264">
        <v>18</v>
      </c>
      <c r="F177" s="282">
        <f>1.68+3.56+0.62</f>
        <v>5.86</v>
      </c>
      <c r="G177" s="282">
        <f>2.23+2.86</f>
        <v>5.09</v>
      </c>
      <c r="H177" s="293">
        <f t="shared" si="12"/>
        <v>10.95</v>
      </c>
      <c r="I177" s="293">
        <f t="shared" si="13"/>
        <v>105.48</v>
      </c>
      <c r="J177" s="293">
        <f t="shared" si="14"/>
        <v>91.62</v>
      </c>
      <c r="K177" s="293">
        <f t="shared" si="15"/>
        <v>197.1</v>
      </c>
      <c r="L177" s="164"/>
      <c r="N177" s="177"/>
      <c r="O177" s="170"/>
    </row>
    <row r="178" spans="1:15" s="165" customFormat="1" ht="25.5">
      <c r="A178" s="166" t="s">
        <v>575</v>
      </c>
      <c r="B178" s="166" t="s">
        <v>386</v>
      </c>
      <c r="C178" s="318" t="s">
        <v>385</v>
      </c>
      <c r="D178" s="166" t="s">
        <v>38</v>
      </c>
      <c r="E178" s="264">
        <v>22</v>
      </c>
      <c r="F178" s="282">
        <f>2.11+4.13+0.96</f>
        <v>7.2</v>
      </c>
      <c r="G178" s="282">
        <f>2.92+3.74</f>
        <v>6.66</v>
      </c>
      <c r="H178" s="293">
        <f t="shared" si="12"/>
        <v>13.86</v>
      </c>
      <c r="I178" s="293">
        <f t="shared" si="13"/>
        <v>158.4</v>
      </c>
      <c r="J178" s="293">
        <f t="shared" si="14"/>
        <v>146.52</v>
      </c>
      <c r="K178" s="293">
        <f t="shared" si="15"/>
        <v>304.92</v>
      </c>
      <c r="L178" s="164"/>
      <c r="N178" s="177"/>
      <c r="O178" s="170"/>
    </row>
    <row r="179" spans="1:15" s="165" customFormat="1" ht="12.75">
      <c r="A179" s="166" t="s">
        <v>576</v>
      </c>
      <c r="B179" s="166" t="s">
        <v>335</v>
      </c>
      <c r="C179" s="208" t="s">
        <v>336</v>
      </c>
      <c r="D179" s="166" t="s">
        <v>38</v>
      </c>
      <c r="E179" s="264">
        <v>1</v>
      </c>
      <c r="F179" s="282">
        <f>8.02+92.17+2.18</f>
        <v>102.37</v>
      </c>
      <c r="G179" s="282">
        <f>17.92+23.06</f>
        <v>40.98</v>
      </c>
      <c r="H179" s="293">
        <f t="shared" si="12"/>
        <v>143.35</v>
      </c>
      <c r="I179" s="293">
        <f t="shared" si="13"/>
        <v>102.37</v>
      </c>
      <c r="J179" s="293">
        <f t="shared" si="14"/>
        <v>40.98</v>
      </c>
      <c r="K179" s="293">
        <f t="shared" si="15"/>
        <v>143.35</v>
      </c>
      <c r="L179" s="164"/>
      <c r="N179" s="177">
        <v>115.5</v>
      </c>
      <c r="O179" s="170">
        <v>16.01</v>
      </c>
    </row>
    <row r="180" spans="1:15" s="165" customFormat="1" ht="12.75">
      <c r="A180" s="166" t="s">
        <v>577</v>
      </c>
      <c r="B180" s="166" t="s">
        <v>353</v>
      </c>
      <c r="C180" s="209" t="s">
        <v>346</v>
      </c>
      <c r="D180" s="166" t="s">
        <v>63</v>
      </c>
      <c r="E180" s="264">
        <v>24</v>
      </c>
      <c r="F180" s="282">
        <f>0.14+19.31</f>
        <v>19.45</v>
      </c>
      <c r="G180" s="282">
        <f>4.59+3.12+0.66+0.64</f>
        <v>9.01</v>
      </c>
      <c r="H180" s="293">
        <f t="shared" si="12"/>
        <v>28.46</v>
      </c>
      <c r="I180" s="293">
        <f t="shared" si="13"/>
        <v>466.8</v>
      </c>
      <c r="J180" s="293">
        <f t="shared" si="14"/>
        <v>216.24</v>
      </c>
      <c r="K180" s="293">
        <f t="shared" si="15"/>
        <v>683.04</v>
      </c>
      <c r="L180" s="164"/>
      <c r="N180" s="177"/>
      <c r="O180" s="170"/>
    </row>
    <row r="181" spans="1:15" s="165" customFormat="1" ht="12.75">
      <c r="A181" s="166" t="s">
        <v>578</v>
      </c>
      <c r="B181" s="166" t="s">
        <v>354</v>
      </c>
      <c r="C181" s="209" t="s">
        <v>347</v>
      </c>
      <c r="D181" s="166" t="s">
        <v>63</v>
      </c>
      <c r="E181" s="264">
        <f>24</f>
        <v>24</v>
      </c>
      <c r="F181" s="282">
        <f>0.18+32.12</f>
        <v>32.3</v>
      </c>
      <c r="G181" s="282">
        <f>6.25+4.25+0.89+0.87</f>
        <v>12.26</v>
      </c>
      <c r="H181" s="293">
        <f t="shared" si="12"/>
        <v>44.56</v>
      </c>
      <c r="I181" s="293">
        <f t="shared" si="13"/>
        <v>775.2</v>
      </c>
      <c r="J181" s="293">
        <f t="shared" si="14"/>
        <v>294.24</v>
      </c>
      <c r="K181" s="293">
        <f t="shared" si="15"/>
        <v>1069.44</v>
      </c>
      <c r="L181" s="164"/>
      <c r="N181" s="177"/>
      <c r="O181" s="170"/>
    </row>
    <row r="182" spans="1:15" s="165" customFormat="1" ht="12.75">
      <c r="A182" s="166" t="s">
        <v>579</v>
      </c>
      <c r="B182" s="166" t="s">
        <v>349</v>
      </c>
      <c r="C182" s="209" t="s">
        <v>348</v>
      </c>
      <c r="D182" s="166" t="s">
        <v>63</v>
      </c>
      <c r="E182" s="264">
        <v>36</v>
      </c>
      <c r="F182" s="282">
        <f>0.26+49.16</f>
        <v>49.42</v>
      </c>
      <c r="G182" s="282">
        <f>8.04+5.46+1.15+1.12</f>
        <v>15.77</v>
      </c>
      <c r="H182" s="293">
        <f t="shared" si="12"/>
        <v>65.19</v>
      </c>
      <c r="I182" s="293">
        <f t="shared" si="13"/>
        <v>1779.12</v>
      </c>
      <c r="J182" s="293">
        <f t="shared" si="14"/>
        <v>567.72</v>
      </c>
      <c r="K182" s="293">
        <f t="shared" si="15"/>
        <v>2346.84</v>
      </c>
      <c r="L182" s="164"/>
      <c r="N182" s="177"/>
      <c r="O182" s="170"/>
    </row>
    <row r="183" spans="1:15" s="165" customFormat="1" ht="25.5">
      <c r="A183" s="166" t="s">
        <v>580</v>
      </c>
      <c r="B183" s="166" t="s">
        <v>356</v>
      </c>
      <c r="C183" s="209" t="s">
        <v>355</v>
      </c>
      <c r="D183" s="166" t="s">
        <v>63</v>
      </c>
      <c r="E183" s="264">
        <v>3</v>
      </c>
      <c r="F183" s="282">
        <f>1.33+10.88+0.69+1.9</f>
        <v>14.8</v>
      </c>
      <c r="G183" s="282">
        <f>19.8+12.87</f>
        <v>32.67</v>
      </c>
      <c r="H183" s="293">
        <f t="shared" si="12"/>
        <v>47.47</v>
      </c>
      <c r="I183" s="293">
        <f t="shared" si="13"/>
        <v>44.4</v>
      </c>
      <c r="J183" s="293">
        <f t="shared" si="14"/>
        <v>98.01</v>
      </c>
      <c r="K183" s="293">
        <f t="shared" si="15"/>
        <v>142.41</v>
      </c>
      <c r="L183" s="163"/>
      <c r="N183" s="177">
        <v>26.2</v>
      </c>
      <c r="O183" s="170">
        <f>N183*0.35</f>
        <v>9.17</v>
      </c>
    </row>
    <row r="184" spans="1:15" s="165" customFormat="1" ht="12.75">
      <c r="A184" s="241"/>
      <c r="B184" s="241"/>
      <c r="C184" s="242" t="s">
        <v>29</v>
      </c>
      <c r="D184" s="241"/>
      <c r="E184" s="266"/>
      <c r="F184" s="300"/>
      <c r="G184" s="300"/>
      <c r="H184" s="300"/>
      <c r="I184" s="300"/>
      <c r="J184" s="300"/>
      <c r="K184" s="300"/>
      <c r="L184" s="243">
        <f>SUM(K165:K183)</f>
        <v>5788.16</v>
      </c>
      <c r="M184" s="244"/>
      <c r="N184" s="168"/>
      <c r="O184" s="163"/>
    </row>
    <row r="185" spans="1:15" s="165" customFormat="1" ht="12.75">
      <c r="A185" s="160" t="s">
        <v>143</v>
      </c>
      <c r="B185" s="160"/>
      <c r="C185" s="161" t="s">
        <v>176</v>
      </c>
      <c r="D185" s="166"/>
      <c r="E185" s="264"/>
      <c r="F185" s="301"/>
      <c r="G185" s="299"/>
      <c r="H185" s="299"/>
      <c r="I185" s="299"/>
      <c r="J185" s="299"/>
      <c r="K185" s="299"/>
      <c r="L185" s="163"/>
      <c r="N185" s="177">
        <v>7.67</v>
      </c>
      <c r="O185" s="170">
        <v>6.4</v>
      </c>
    </row>
    <row r="186" spans="1:15" s="216" customFormat="1" ht="12.75">
      <c r="A186" s="166" t="s">
        <v>581</v>
      </c>
      <c r="B186" s="166" t="s">
        <v>388</v>
      </c>
      <c r="C186" s="208" t="s">
        <v>389</v>
      </c>
      <c r="D186" s="210" t="s">
        <v>38</v>
      </c>
      <c r="E186" s="262">
        <f>1</f>
        <v>1</v>
      </c>
      <c r="F186" s="282">
        <f>398.82</f>
        <v>398.82</v>
      </c>
      <c r="G186" s="282">
        <f>6.96+5.05+2.76</f>
        <v>14.77</v>
      </c>
      <c r="H186" s="293">
        <f aca="true" t="shared" si="16" ref="H186:H192">F186+G186</f>
        <v>413.59</v>
      </c>
      <c r="I186" s="293">
        <f aca="true" t="shared" si="17" ref="I186:I192">E186*F186</f>
        <v>398.82</v>
      </c>
      <c r="J186" s="293">
        <f aca="true" t="shared" si="18" ref="J186:J192">E186*G186</f>
        <v>14.77</v>
      </c>
      <c r="K186" s="293">
        <f aca="true" t="shared" si="19" ref="K186:K192">I186+J186</f>
        <v>413.59</v>
      </c>
      <c r="L186" s="163"/>
      <c r="M186" s="165"/>
      <c r="N186" s="213">
        <v>27.18</v>
      </c>
      <c r="O186" s="214">
        <v>6.4</v>
      </c>
    </row>
    <row r="187" spans="1:15" s="216" customFormat="1" ht="38.25">
      <c r="A187" s="166" t="s">
        <v>582</v>
      </c>
      <c r="B187" s="323" t="s">
        <v>391</v>
      </c>
      <c r="C187" s="212" t="s">
        <v>390</v>
      </c>
      <c r="D187" s="210" t="s">
        <v>38</v>
      </c>
      <c r="E187" s="262">
        <v>4</v>
      </c>
      <c r="F187" s="282">
        <f>135.68+91.46+55.67</f>
        <v>282.81</v>
      </c>
      <c r="G187" s="282">
        <f>5.09+44.9+16.58</f>
        <v>66.57</v>
      </c>
      <c r="H187" s="293">
        <f t="shared" si="16"/>
        <v>349.38</v>
      </c>
      <c r="I187" s="293">
        <f t="shared" si="17"/>
        <v>1131.24</v>
      </c>
      <c r="J187" s="293">
        <f t="shared" si="18"/>
        <v>266.28</v>
      </c>
      <c r="K187" s="293">
        <f t="shared" si="19"/>
        <v>1397.52</v>
      </c>
      <c r="L187" s="215"/>
      <c r="N187" s="213">
        <v>27.18</v>
      </c>
      <c r="O187" s="214">
        <v>6.4</v>
      </c>
    </row>
    <row r="188" spans="1:15" s="216" customFormat="1" ht="12.75">
      <c r="A188" s="166" t="s">
        <v>583</v>
      </c>
      <c r="B188" s="166" t="s">
        <v>392</v>
      </c>
      <c r="C188" s="212" t="s">
        <v>393</v>
      </c>
      <c r="D188" s="210" t="s">
        <v>38</v>
      </c>
      <c r="E188" s="262">
        <v>4</v>
      </c>
      <c r="F188" s="282">
        <f>0.08+15+0.01+57.25</f>
        <v>72.34</v>
      </c>
      <c r="G188" s="282">
        <f>18.38+23.81</f>
        <v>42.19</v>
      </c>
      <c r="H188" s="293">
        <f t="shared" si="16"/>
        <v>114.53</v>
      </c>
      <c r="I188" s="293">
        <f t="shared" si="17"/>
        <v>289.36</v>
      </c>
      <c r="J188" s="293">
        <f t="shared" si="18"/>
        <v>168.76</v>
      </c>
      <c r="K188" s="293">
        <f t="shared" si="19"/>
        <v>458.12</v>
      </c>
      <c r="L188" s="215"/>
      <c r="N188" s="213">
        <v>224.53</v>
      </c>
      <c r="O188" s="214">
        <v>177.46</v>
      </c>
    </row>
    <row r="189" spans="1:15" s="216" customFormat="1" ht="12.75">
      <c r="A189" s="166" t="s">
        <v>584</v>
      </c>
      <c r="B189" s="166" t="s">
        <v>394</v>
      </c>
      <c r="C189" s="212" t="s">
        <v>395</v>
      </c>
      <c r="D189" s="210" t="s">
        <v>38</v>
      </c>
      <c r="E189" s="262">
        <v>4</v>
      </c>
      <c r="F189" s="282">
        <f>6.99</f>
        <v>6.99</v>
      </c>
      <c r="G189" s="282">
        <f>0.95+1.55</f>
        <v>2.5</v>
      </c>
      <c r="H189" s="293">
        <f t="shared" si="16"/>
        <v>9.49</v>
      </c>
      <c r="I189" s="293">
        <f t="shared" si="17"/>
        <v>27.96</v>
      </c>
      <c r="J189" s="293">
        <f t="shared" si="18"/>
        <v>10</v>
      </c>
      <c r="K189" s="293">
        <f t="shared" si="19"/>
        <v>37.96</v>
      </c>
      <c r="L189" s="215"/>
      <c r="N189" s="213">
        <v>180.39</v>
      </c>
      <c r="O189" s="214">
        <v>123.61</v>
      </c>
    </row>
    <row r="190" spans="1:15" s="216" customFormat="1" ht="12.75">
      <c r="A190" s="166" t="s">
        <v>144</v>
      </c>
      <c r="B190" s="166" t="s">
        <v>396</v>
      </c>
      <c r="C190" s="212" t="s">
        <v>397</v>
      </c>
      <c r="D190" s="210" t="s">
        <v>38</v>
      </c>
      <c r="E190" s="262">
        <v>3</v>
      </c>
      <c r="F190" s="282">
        <f>41.7</f>
        <v>41.7</v>
      </c>
      <c r="G190" s="282">
        <f>5.71+9.32</f>
        <v>15.03</v>
      </c>
      <c r="H190" s="293">
        <f t="shared" si="16"/>
        <v>56.73</v>
      </c>
      <c r="I190" s="293">
        <f t="shared" si="17"/>
        <v>125.1</v>
      </c>
      <c r="J190" s="293">
        <f t="shared" si="18"/>
        <v>45.09</v>
      </c>
      <c r="K190" s="293">
        <f t="shared" si="19"/>
        <v>170.19</v>
      </c>
      <c r="L190" s="215"/>
      <c r="N190" s="132">
        <v>217.69</v>
      </c>
      <c r="O190" s="214">
        <v>169.86</v>
      </c>
    </row>
    <row r="191" spans="1:15" s="216" customFormat="1" ht="12.75">
      <c r="A191" s="166" t="s">
        <v>145</v>
      </c>
      <c r="B191" s="166" t="s">
        <v>398</v>
      </c>
      <c r="C191" s="212" t="s">
        <v>399</v>
      </c>
      <c r="D191" s="210" t="s">
        <v>38</v>
      </c>
      <c r="E191" s="262">
        <v>4</v>
      </c>
      <c r="F191" s="282">
        <f>8.95</f>
        <v>8.95</v>
      </c>
      <c r="G191" s="282">
        <f>4.95+8.08</f>
        <v>13.03</v>
      </c>
      <c r="H191" s="293">
        <f t="shared" si="16"/>
        <v>21.98</v>
      </c>
      <c r="I191" s="293">
        <f t="shared" si="17"/>
        <v>35.8</v>
      </c>
      <c r="J191" s="293">
        <f t="shared" si="18"/>
        <v>52.12</v>
      </c>
      <c r="K191" s="293">
        <f t="shared" si="19"/>
        <v>87.92</v>
      </c>
      <c r="L191" s="215"/>
      <c r="N191" s="213">
        <v>234.67</v>
      </c>
      <c r="O191" s="214">
        <v>208.72</v>
      </c>
    </row>
    <row r="192" spans="1:15" s="165" customFormat="1" ht="12.75">
      <c r="A192" s="166" t="s">
        <v>585</v>
      </c>
      <c r="B192" s="166" t="s">
        <v>400</v>
      </c>
      <c r="C192" s="212" t="s">
        <v>401</v>
      </c>
      <c r="D192" s="210" t="s">
        <v>38</v>
      </c>
      <c r="E192" s="262">
        <v>4</v>
      </c>
      <c r="F192" s="282">
        <f>0.08+0.67+7.9+11.9</f>
        <v>20.55</v>
      </c>
      <c r="G192" s="282">
        <f>13.44</f>
        <v>13.44</v>
      </c>
      <c r="H192" s="293">
        <f t="shared" si="16"/>
        <v>33.99</v>
      </c>
      <c r="I192" s="293">
        <f t="shared" si="17"/>
        <v>82.2</v>
      </c>
      <c r="J192" s="293">
        <f t="shared" si="18"/>
        <v>53.76</v>
      </c>
      <c r="K192" s="293">
        <f t="shared" si="19"/>
        <v>135.96</v>
      </c>
      <c r="L192" s="215"/>
      <c r="M192" s="216"/>
      <c r="N192" s="177">
        <v>15.68</v>
      </c>
      <c r="O192" s="170">
        <v>5.49</v>
      </c>
    </row>
    <row r="193" spans="1:15" s="129" customFormat="1" ht="12.75">
      <c r="A193" s="241"/>
      <c r="B193" s="241"/>
      <c r="C193" s="242" t="s">
        <v>29</v>
      </c>
      <c r="D193" s="241"/>
      <c r="E193" s="266"/>
      <c r="F193" s="297"/>
      <c r="G193" s="297"/>
      <c r="H193" s="297"/>
      <c r="I193" s="302"/>
      <c r="J193" s="302"/>
      <c r="K193" s="297"/>
      <c r="L193" s="243">
        <f>SUM(K186:K192)</f>
        <v>2701.26</v>
      </c>
      <c r="M193" s="244"/>
      <c r="N193" s="181"/>
      <c r="O193" s="181"/>
    </row>
    <row r="194" spans="1:15" s="165" customFormat="1" ht="12.75">
      <c r="A194" s="179"/>
      <c r="B194" s="179"/>
      <c r="C194" s="180" t="s">
        <v>190</v>
      </c>
      <c r="D194" s="179"/>
      <c r="E194" s="260"/>
      <c r="F194" s="283"/>
      <c r="G194" s="283"/>
      <c r="H194" s="287"/>
      <c r="I194" s="288">
        <f>SUM(I130:I193)</f>
        <v>11107.85</v>
      </c>
      <c r="J194" s="288">
        <f>SUM(J130:J193)</f>
        <v>4498.21</v>
      </c>
      <c r="K194" s="283"/>
      <c r="L194" s="182">
        <f>SUM(L130:L193)</f>
        <v>15606.06</v>
      </c>
      <c r="M194" s="377">
        <f>L194*$K$295+(L194)</f>
        <v>19159.56</v>
      </c>
      <c r="N194" s="163"/>
      <c r="O194" s="163"/>
    </row>
    <row r="195" spans="1:15" s="165" customFormat="1" ht="12.75">
      <c r="A195" s="160">
        <v>6</v>
      </c>
      <c r="B195" s="160"/>
      <c r="C195" s="161" t="s">
        <v>177</v>
      </c>
      <c r="D195" s="162"/>
      <c r="E195" s="268"/>
      <c r="F195" s="299"/>
      <c r="G195" s="299"/>
      <c r="H195" s="299"/>
      <c r="I195" s="299"/>
      <c r="J195" s="299"/>
      <c r="K195" s="299"/>
      <c r="L195" s="164"/>
      <c r="N195" s="173"/>
      <c r="O195" s="170"/>
    </row>
    <row r="196" spans="1:15" s="165" customFormat="1" ht="12.75">
      <c r="A196" s="171" t="s">
        <v>586</v>
      </c>
      <c r="B196" s="171"/>
      <c r="C196" s="443" t="s">
        <v>178</v>
      </c>
      <c r="D196" s="443"/>
      <c r="E196" s="262"/>
      <c r="F196" s="298"/>
      <c r="G196" s="293"/>
      <c r="H196" s="293"/>
      <c r="I196" s="293"/>
      <c r="J196" s="293"/>
      <c r="K196" s="293"/>
      <c r="L196" s="169"/>
      <c r="N196" s="158">
        <v>1503</v>
      </c>
      <c r="O196" s="170">
        <v>350</v>
      </c>
    </row>
    <row r="197" spans="1:15" s="165" customFormat="1" ht="38.25">
      <c r="A197" s="210" t="s">
        <v>146</v>
      </c>
      <c r="B197" s="210" t="s">
        <v>460</v>
      </c>
      <c r="C197" s="211" t="s">
        <v>461</v>
      </c>
      <c r="D197" s="210" t="s">
        <v>38</v>
      </c>
      <c r="E197" s="262">
        <v>1</v>
      </c>
      <c r="F197" s="282">
        <v>530.63</v>
      </c>
      <c r="G197" s="282">
        <f>70.6+90.64</f>
        <v>161.24</v>
      </c>
      <c r="H197" s="293">
        <f>F197+G197</f>
        <v>691.87</v>
      </c>
      <c r="I197" s="293">
        <f>E197*F197</f>
        <v>530.63</v>
      </c>
      <c r="J197" s="293">
        <f>E197*G197</f>
        <v>161.24</v>
      </c>
      <c r="K197" s="293">
        <f>I197+J197</f>
        <v>691.87</v>
      </c>
      <c r="L197" s="169"/>
      <c r="N197" s="158">
        <v>480</v>
      </c>
      <c r="O197" s="170">
        <v>200</v>
      </c>
    </row>
    <row r="198" spans="1:15" s="165" customFormat="1" ht="25.5">
      <c r="A198" s="210" t="s">
        <v>147</v>
      </c>
      <c r="B198" s="210" t="s">
        <v>462</v>
      </c>
      <c r="C198" s="212" t="s">
        <v>463</v>
      </c>
      <c r="D198" s="210" t="s">
        <v>38</v>
      </c>
      <c r="E198" s="262">
        <v>2</v>
      </c>
      <c r="F198" s="282">
        <f>2.45+1.27+5.43+6.97</f>
        <v>16.12</v>
      </c>
      <c r="G198" s="282">
        <f>2.8+6.59</f>
        <v>9.39</v>
      </c>
      <c r="H198" s="293">
        <f>F198+G198</f>
        <v>25.51</v>
      </c>
      <c r="I198" s="293">
        <f>E198*F198</f>
        <v>32.24</v>
      </c>
      <c r="J198" s="293">
        <f>E198*G198</f>
        <v>18.78</v>
      </c>
      <c r="K198" s="293">
        <f>I198+J198</f>
        <v>51.02</v>
      </c>
      <c r="L198" s="169"/>
      <c r="N198" s="173">
        <v>24.18</v>
      </c>
      <c r="O198" s="170">
        <v>3.36</v>
      </c>
    </row>
    <row r="199" spans="1:15" s="165" customFormat="1" ht="25.5">
      <c r="A199" s="210" t="s">
        <v>587</v>
      </c>
      <c r="B199" s="210" t="s">
        <v>464</v>
      </c>
      <c r="C199" s="212" t="s">
        <v>465</v>
      </c>
      <c r="D199" s="210" t="s">
        <v>38</v>
      </c>
      <c r="E199" s="262">
        <v>2</v>
      </c>
      <c r="F199" s="282">
        <f>8.43+2.45+1.27</f>
        <v>12.15</v>
      </c>
      <c r="G199" s="282">
        <f>5.43+6.97+2.8</f>
        <v>15.2</v>
      </c>
      <c r="H199" s="293">
        <f>F199+G199</f>
        <v>27.35</v>
      </c>
      <c r="I199" s="293">
        <f>E199*F199</f>
        <v>24.3</v>
      </c>
      <c r="J199" s="293">
        <f>E199*G199</f>
        <v>30.4</v>
      </c>
      <c r="K199" s="293">
        <f>I199+J199</f>
        <v>54.7</v>
      </c>
      <c r="L199" s="169"/>
      <c r="N199" s="173"/>
      <c r="O199" s="170"/>
    </row>
    <row r="200" spans="1:15" s="165" customFormat="1" ht="25.5">
      <c r="A200" s="210" t="s">
        <v>588</v>
      </c>
      <c r="B200" s="210" t="s">
        <v>466</v>
      </c>
      <c r="C200" s="212" t="s">
        <v>467</v>
      </c>
      <c r="D200" s="210" t="s">
        <v>38</v>
      </c>
      <c r="E200" s="262">
        <v>12</v>
      </c>
      <c r="F200" s="282">
        <f>8.43+2.45+1.27</f>
        <v>12.15</v>
      </c>
      <c r="G200" s="282">
        <f>11.23+8.75+2.8</f>
        <v>22.78</v>
      </c>
      <c r="H200" s="293">
        <f aca="true" t="shared" si="20" ref="H200:H210">F200+G200</f>
        <v>34.93</v>
      </c>
      <c r="I200" s="293">
        <f aca="true" t="shared" si="21" ref="I200:I210">E200*F200</f>
        <v>145.8</v>
      </c>
      <c r="J200" s="293">
        <f aca="true" t="shared" si="22" ref="J200:J210">E200*G200</f>
        <v>273.36</v>
      </c>
      <c r="K200" s="293">
        <f aca="true" t="shared" si="23" ref="K200:K210">I200+J200</f>
        <v>419.16</v>
      </c>
      <c r="L200" s="169"/>
      <c r="N200" s="173">
        <v>12.98</v>
      </c>
      <c r="O200" s="170">
        <v>5.92</v>
      </c>
    </row>
    <row r="201" spans="1:15" s="165" customFormat="1" ht="25.5">
      <c r="A201" s="210" t="s">
        <v>589</v>
      </c>
      <c r="B201" s="210" t="s">
        <v>459</v>
      </c>
      <c r="C201" s="212" t="s">
        <v>458</v>
      </c>
      <c r="D201" s="210" t="s">
        <v>38</v>
      </c>
      <c r="E201" s="262">
        <v>2</v>
      </c>
      <c r="F201" s="282">
        <f>15.1+1.27+2.45</f>
        <v>18.82</v>
      </c>
      <c r="G201" s="282">
        <f>9.79+12.59+2.8</f>
        <v>25.18</v>
      </c>
      <c r="H201" s="293">
        <f t="shared" si="20"/>
        <v>44</v>
      </c>
      <c r="I201" s="293">
        <f t="shared" si="21"/>
        <v>37.64</v>
      </c>
      <c r="J201" s="293">
        <f t="shared" si="22"/>
        <v>50.36</v>
      </c>
      <c r="K201" s="293">
        <f t="shared" si="23"/>
        <v>88</v>
      </c>
      <c r="L201" s="169"/>
      <c r="N201" s="173">
        <v>19.53</v>
      </c>
      <c r="O201" s="170">
        <v>8.48</v>
      </c>
    </row>
    <row r="202" spans="1:15" s="165" customFormat="1" ht="25.5">
      <c r="A202" s="210" t="s">
        <v>590</v>
      </c>
      <c r="B202" s="210" t="s">
        <v>468</v>
      </c>
      <c r="C202" s="209" t="s">
        <v>469</v>
      </c>
      <c r="D202" s="210" t="s">
        <v>63</v>
      </c>
      <c r="E202" s="262">
        <f>(16+17+22+26+21+20+20+20)*2</f>
        <v>324</v>
      </c>
      <c r="F202" s="282">
        <f>0.03+1.83</f>
        <v>1.86</v>
      </c>
      <c r="G202" s="282">
        <f>0.52+0.67</f>
        <v>1.19</v>
      </c>
      <c r="H202" s="293">
        <f t="shared" si="20"/>
        <v>3.05</v>
      </c>
      <c r="I202" s="293">
        <f t="shared" si="21"/>
        <v>602.64</v>
      </c>
      <c r="J202" s="293">
        <f t="shared" si="22"/>
        <v>385.56</v>
      </c>
      <c r="K202" s="293">
        <f t="shared" si="23"/>
        <v>988.2</v>
      </c>
      <c r="L202" s="169"/>
      <c r="N202" s="158">
        <v>1.46</v>
      </c>
      <c r="O202" s="170">
        <v>1.92</v>
      </c>
    </row>
    <row r="203" spans="1:15" s="165" customFormat="1" ht="25.5">
      <c r="A203" s="210" t="s">
        <v>591</v>
      </c>
      <c r="B203" s="210" t="s">
        <v>470</v>
      </c>
      <c r="C203" s="209" t="s">
        <v>516</v>
      </c>
      <c r="D203" s="210" t="s">
        <v>63</v>
      </c>
      <c r="E203" s="262">
        <f>(9+16+18+17+18+18+17+21)*2</f>
        <v>268</v>
      </c>
      <c r="F203" s="282">
        <f>0.03+4.59</f>
        <v>4.62</v>
      </c>
      <c r="G203" s="282">
        <f>1.17+0.91</f>
        <v>2.08</v>
      </c>
      <c r="H203" s="293">
        <f t="shared" si="20"/>
        <v>6.7</v>
      </c>
      <c r="I203" s="293">
        <f t="shared" si="21"/>
        <v>1238.16</v>
      </c>
      <c r="J203" s="293">
        <f t="shared" si="22"/>
        <v>557.44</v>
      </c>
      <c r="K203" s="293">
        <f t="shared" si="23"/>
        <v>1795.6</v>
      </c>
      <c r="L203" s="169"/>
      <c r="N203" s="158">
        <v>2.04</v>
      </c>
      <c r="O203" s="170">
        <v>2.08</v>
      </c>
    </row>
    <row r="204" spans="1:15" s="165" customFormat="1" ht="12.75">
      <c r="A204" s="210" t="s">
        <v>592</v>
      </c>
      <c r="B204" s="210" t="s">
        <v>474</v>
      </c>
      <c r="C204" s="209" t="s">
        <v>475</v>
      </c>
      <c r="D204" s="210" t="s">
        <v>473</v>
      </c>
      <c r="E204" s="262">
        <v>2</v>
      </c>
      <c r="F204" s="282">
        <f>1.12+49.35</f>
        <v>50.47</v>
      </c>
      <c r="G204" s="282">
        <f>1.23+1.58</f>
        <v>2.81</v>
      </c>
      <c r="H204" s="293">
        <f t="shared" si="20"/>
        <v>53.28</v>
      </c>
      <c r="I204" s="293">
        <f t="shared" si="21"/>
        <v>100.94</v>
      </c>
      <c r="J204" s="293">
        <f t="shared" si="22"/>
        <v>5.62</v>
      </c>
      <c r="K204" s="293">
        <f t="shared" si="23"/>
        <v>106.56</v>
      </c>
      <c r="L204" s="169"/>
      <c r="N204" s="173">
        <v>5.49</v>
      </c>
      <c r="O204" s="170">
        <v>2.24</v>
      </c>
    </row>
    <row r="205" spans="1:15" s="165" customFormat="1" ht="12.75">
      <c r="A205" s="210" t="s">
        <v>593</v>
      </c>
      <c r="B205" s="210" t="s">
        <v>471</v>
      </c>
      <c r="C205" s="209" t="s">
        <v>472</v>
      </c>
      <c r="D205" s="210" t="s">
        <v>473</v>
      </c>
      <c r="E205" s="262">
        <v>6</v>
      </c>
      <c r="F205" s="282">
        <f>1.46+49.35</f>
        <v>50.81</v>
      </c>
      <c r="G205" s="282">
        <f>2.34+3.01</f>
        <v>5.35</v>
      </c>
      <c r="H205" s="293">
        <f t="shared" si="20"/>
        <v>56.16</v>
      </c>
      <c r="I205" s="293">
        <f t="shared" si="21"/>
        <v>304.86</v>
      </c>
      <c r="J205" s="293">
        <f t="shared" si="22"/>
        <v>32.1</v>
      </c>
      <c r="K205" s="293">
        <f t="shared" si="23"/>
        <v>336.96</v>
      </c>
      <c r="L205" s="169"/>
      <c r="N205" s="173">
        <v>5.49</v>
      </c>
      <c r="O205" s="170">
        <v>2.24</v>
      </c>
    </row>
    <row r="206" spans="1:15" s="165" customFormat="1" ht="12.75">
      <c r="A206" s="210" t="s">
        <v>594</v>
      </c>
      <c r="B206" s="210" t="s">
        <v>476</v>
      </c>
      <c r="C206" s="209" t="s">
        <v>477</v>
      </c>
      <c r="D206" s="210" t="s">
        <v>473</v>
      </c>
      <c r="E206" s="210">
        <v>8</v>
      </c>
      <c r="F206" s="282">
        <f>49.35+1.74</f>
        <v>51.09</v>
      </c>
      <c r="G206" s="282">
        <f>3.21+4.12</f>
        <v>7.33</v>
      </c>
      <c r="H206" s="293">
        <f t="shared" si="20"/>
        <v>58.42</v>
      </c>
      <c r="I206" s="293">
        <f t="shared" si="21"/>
        <v>408.72</v>
      </c>
      <c r="J206" s="293">
        <f t="shared" si="22"/>
        <v>58.64</v>
      </c>
      <c r="K206" s="293">
        <f t="shared" si="23"/>
        <v>467.36</v>
      </c>
      <c r="L206" s="169"/>
      <c r="N206" s="173">
        <v>15.23</v>
      </c>
      <c r="O206" s="170">
        <v>3.13</v>
      </c>
    </row>
    <row r="207" spans="1:15" s="165" customFormat="1" ht="12.75">
      <c r="A207" s="210" t="s">
        <v>595</v>
      </c>
      <c r="B207" s="210" t="s">
        <v>478</v>
      </c>
      <c r="C207" s="209" t="s">
        <v>479</v>
      </c>
      <c r="D207" s="210" t="s">
        <v>473</v>
      </c>
      <c r="E207" s="262">
        <v>1</v>
      </c>
      <c r="F207" s="282">
        <f>82.53+12.76+8.67</f>
        <v>103.96</v>
      </c>
      <c r="G207" s="282">
        <f>1.73+1.82</f>
        <v>3.55</v>
      </c>
      <c r="H207" s="293">
        <f t="shared" si="20"/>
        <v>107.51</v>
      </c>
      <c r="I207" s="293">
        <f t="shared" si="21"/>
        <v>103.96</v>
      </c>
      <c r="J207" s="293">
        <f t="shared" si="22"/>
        <v>3.55</v>
      </c>
      <c r="K207" s="293">
        <f t="shared" si="23"/>
        <v>107.51</v>
      </c>
      <c r="L207" s="169"/>
      <c r="N207" s="173">
        <v>18.88</v>
      </c>
      <c r="O207" s="170">
        <v>3.36</v>
      </c>
    </row>
    <row r="208" spans="1:15" s="165" customFormat="1" ht="12.75">
      <c r="A208" s="210" t="s">
        <v>596</v>
      </c>
      <c r="B208" s="210" t="s">
        <v>480</v>
      </c>
      <c r="C208" s="209" t="s">
        <v>481</v>
      </c>
      <c r="D208" s="210" t="s">
        <v>473</v>
      </c>
      <c r="E208" s="262">
        <v>1</v>
      </c>
      <c r="F208" s="282">
        <v>41.28</v>
      </c>
      <c r="G208" s="282">
        <f>4.92+3.93</f>
        <v>8.85</v>
      </c>
      <c r="H208" s="293">
        <f t="shared" si="20"/>
        <v>50.13</v>
      </c>
      <c r="I208" s="293">
        <f t="shared" si="21"/>
        <v>41.28</v>
      </c>
      <c r="J208" s="293">
        <f t="shared" si="22"/>
        <v>8.85</v>
      </c>
      <c r="K208" s="293">
        <f t="shared" si="23"/>
        <v>50.13</v>
      </c>
      <c r="L208" s="169"/>
      <c r="N208" s="170">
        <v>61.16</v>
      </c>
      <c r="O208" s="170">
        <v>16</v>
      </c>
    </row>
    <row r="209" spans="1:15" s="165" customFormat="1" ht="12.75">
      <c r="A209" s="210" t="s">
        <v>597</v>
      </c>
      <c r="B209" s="210" t="s">
        <v>483</v>
      </c>
      <c r="C209" s="212" t="s">
        <v>482</v>
      </c>
      <c r="D209" s="210" t="s">
        <v>473</v>
      </c>
      <c r="E209" s="262">
        <v>1</v>
      </c>
      <c r="F209" s="282">
        <v>117.89</v>
      </c>
      <c r="G209" s="282">
        <f>9.35+7.27</f>
        <v>16.62</v>
      </c>
      <c r="H209" s="293">
        <f t="shared" si="20"/>
        <v>134.51</v>
      </c>
      <c r="I209" s="293">
        <f t="shared" si="21"/>
        <v>117.89</v>
      </c>
      <c r="J209" s="293">
        <f t="shared" si="22"/>
        <v>16.62</v>
      </c>
      <c r="K209" s="293">
        <f t="shared" si="23"/>
        <v>134.51</v>
      </c>
      <c r="L209" s="169"/>
      <c r="N209" s="173">
        <v>10.08</v>
      </c>
      <c r="O209" s="170">
        <v>4</v>
      </c>
    </row>
    <row r="210" spans="1:15" s="165" customFormat="1" ht="25.5">
      <c r="A210" s="210" t="s">
        <v>598</v>
      </c>
      <c r="B210" s="210" t="s">
        <v>450</v>
      </c>
      <c r="C210" s="212" t="s">
        <v>451</v>
      </c>
      <c r="D210" s="210" t="s">
        <v>63</v>
      </c>
      <c r="E210" s="262">
        <f>20.39+109.47</f>
        <v>129.86</v>
      </c>
      <c r="F210" s="282">
        <f>0.7+2.55</f>
        <v>3.25</v>
      </c>
      <c r="G210" s="282">
        <f>0.17+1.52+1.23+1.58</f>
        <v>4.5</v>
      </c>
      <c r="H210" s="293">
        <f t="shared" si="20"/>
        <v>7.75</v>
      </c>
      <c r="I210" s="293">
        <f t="shared" si="21"/>
        <v>422.05</v>
      </c>
      <c r="J210" s="293">
        <f t="shared" si="22"/>
        <v>584.37</v>
      </c>
      <c r="K210" s="293">
        <f t="shared" si="23"/>
        <v>1006.42</v>
      </c>
      <c r="L210" s="169"/>
      <c r="N210" s="173">
        <v>2.47</v>
      </c>
      <c r="O210" s="170">
        <v>3.2</v>
      </c>
    </row>
    <row r="211" spans="1:15" s="165" customFormat="1" ht="12.75">
      <c r="A211" s="241"/>
      <c r="B211" s="241"/>
      <c r="C211" s="242" t="s">
        <v>29</v>
      </c>
      <c r="D211" s="241"/>
      <c r="E211" s="266"/>
      <c r="F211" s="297"/>
      <c r="G211" s="297"/>
      <c r="H211" s="297"/>
      <c r="I211" s="297"/>
      <c r="J211" s="297"/>
      <c r="K211" s="297"/>
      <c r="L211" s="243">
        <f>SUM(K197:K210)</f>
        <v>6298</v>
      </c>
      <c r="M211" s="244"/>
      <c r="N211" s="173"/>
      <c r="O211" s="170"/>
    </row>
    <row r="212" spans="1:15" s="165" customFormat="1" ht="12.75">
      <c r="A212" s="171" t="s">
        <v>93</v>
      </c>
      <c r="B212" s="171"/>
      <c r="C212" s="174" t="s">
        <v>179</v>
      </c>
      <c r="D212" s="210"/>
      <c r="E212" s="262"/>
      <c r="F212" s="298"/>
      <c r="G212" s="293"/>
      <c r="H212" s="293"/>
      <c r="I212" s="293"/>
      <c r="J212" s="293"/>
      <c r="K212" s="293"/>
      <c r="L212" s="169"/>
      <c r="N212" s="173">
        <v>365.8</v>
      </c>
      <c r="O212" s="214">
        <v>32</v>
      </c>
    </row>
    <row r="213" spans="1:15" s="216" customFormat="1" ht="12.75">
      <c r="A213" s="210" t="s">
        <v>148</v>
      </c>
      <c r="B213" s="210" t="s">
        <v>530</v>
      </c>
      <c r="C213" s="212" t="s">
        <v>531</v>
      </c>
      <c r="D213" s="210" t="s">
        <v>473</v>
      </c>
      <c r="E213" s="262">
        <v>16</v>
      </c>
      <c r="F213" s="282">
        <f>90.85+0.05</f>
        <v>90.9</v>
      </c>
      <c r="G213" s="282">
        <f>20.86+15.99</f>
        <v>36.85</v>
      </c>
      <c r="H213" s="293">
        <f>F213+G213</f>
        <v>127.75</v>
      </c>
      <c r="I213" s="293">
        <f>E213*F213</f>
        <v>1454.4</v>
      </c>
      <c r="J213" s="293">
        <f>E213*G213</f>
        <v>589.6</v>
      </c>
      <c r="K213" s="293">
        <f>I213+J213</f>
        <v>2044</v>
      </c>
      <c r="L213" s="169"/>
      <c r="M213" s="165"/>
      <c r="N213" s="173">
        <f>128.85</f>
        <v>128.85</v>
      </c>
      <c r="O213" s="214">
        <v>18.9</v>
      </c>
    </row>
    <row r="214" spans="1:15" s="216" customFormat="1" ht="12.75">
      <c r="A214" s="210" t="s">
        <v>198</v>
      </c>
      <c r="B214" s="210" t="s">
        <v>532</v>
      </c>
      <c r="C214" s="212" t="s">
        <v>533</v>
      </c>
      <c r="D214" s="210" t="s">
        <v>473</v>
      </c>
      <c r="E214" s="262">
        <v>12</v>
      </c>
      <c r="F214" s="282">
        <f>0.05+18.2+7.5</f>
        <v>25.75</v>
      </c>
      <c r="G214" s="282">
        <f>38.72+29.69</f>
        <v>68.41</v>
      </c>
      <c r="H214" s="293">
        <f>F214+G214</f>
        <v>94.16</v>
      </c>
      <c r="I214" s="293">
        <f>E214*F214</f>
        <v>309</v>
      </c>
      <c r="J214" s="293">
        <f>E214*G214</f>
        <v>820.92</v>
      </c>
      <c r="K214" s="293">
        <f>I214+J214</f>
        <v>1129.92</v>
      </c>
      <c r="L214" s="218"/>
      <c r="N214" s="173">
        <v>128.85</v>
      </c>
      <c r="O214" s="214">
        <v>24</v>
      </c>
    </row>
    <row r="215" spans="1:15" s="175" customFormat="1" ht="12.75">
      <c r="A215" s="241"/>
      <c r="B215" s="241"/>
      <c r="C215" s="242" t="s">
        <v>29</v>
      </c>
      <c r="D215" s="241"/>
      <c r="E215" s="266"/>
      <c r="F215" s="297"/>
      <c r="G215" s="297"/>
      <c r="H215" s="297"/>
      <c r="I215" s="302"/>
      <c r="J215" s="302"/>
      <c r="K215" s="297"/>
      <c r="L215" s="243">
        <f>SUM(K213:K214)</f>
        <v>3173.92</v>
      </c>
      <c r="M215" s="244"/>
      <c r="N215" s="173"/>
      <c r="O215" s="173"/>
    </row>
    <row r="216" spans="1:15" s="175" customFormat="1" ht="12.75">
      <c r="A216" s="171" t="s">
        <v>599</v>
      </c>
      <c r="B216" s="171"/>
      <c r="C216" s="174" t="s">
        <v>24</v>
      </c>
      <c r="D216" s="210"/>
      <c r="E216" s="262"/>
      <c r="F216" s="304"/>
      <c r="G216" s="304"/>
      <c r="H216" s="293"/>
      <c r="I216" s="293"/>
      <c r="J216" s="293"/>
      <c r="K216" s="293"/>
      <c r="L216" s="176"/>
      <c r="N216" s="177">
        <v>7.64</v>
      </c>
      <c r="O216" s="177">
        <v>5.92</v>
      </c>
    </row>
    <row r="217" spans="1:15" s="178" customFormat="1" ht="12.75">
      <c r="A217" s="210" t="s">
        <v>600</v>
      </c>
      <c r="B217" s="210" t="s">
        <v>452</v>
      </c>
      <c r="C217" s="212" t="s">
        <v>453</v>
      </c>
      <c r="D217" s="210" t="s">
        <v>38</v>
      </c>
      <c r="E217" s="262">
        <v>16</v>
      </c>
      <c r="F217" s="282">
        <f>1.82</f>
        <v>1.82</v>
      </c>
      <c r="G217" s="282">
        <f>6.03+4.69</f>
        <v>10.72</v>
      </c>
      <c r="H217" s="293">
        <f>F217+G217</f>
        <v>12.54</v>
      </c>
      <c r="I217" s="293">
        <f>E217*F217</f>
        <v>29.12</v>
      </c>
      <c r="J217" s="293">
        <f>E217*G217</f>
        <v>171.52</v>
      </c>
      <c r="K217" s="293">
        <f>I217+J217</f>
        <v>200.64</v>
      </c>
      <c r="L217" s="176"/>
      <c r="M217" s="175"/>
      <c r="N217" s="177">
        <v>5.55</v>
      </c>
      <c r="O217" s="177">
        <v>1.2</v>
      </c>
    </row>
    <row r="218" spans="1:15" s="175" customFormat="1" ht="12.75">
      <c r="A218" s="210" t="s">
        <v>601</v>
      </c>
      <c r="B218" s="210" t="s">
        <v>455</v>
      </c>
      <c r="C218" s="212" t="s">
        <v>454</v>
      </c>
      <c r="D218" s="210" t="s">
        <v>38</v>
      </c>
      <c r="E218" s="262">
        <v>2</v>
      </c>
      <c r="F218" s="282">
        <f>3.63</f>
        <v>3.63</v>
      </c>
      <c r="G218" s="282">
        <f>7.23+5.63</f>
        <v>12.86</v>
      </c>
      <c r="H218" s="293">
        <f>F218+G218</f>
        <v>16.49</v>
      </c>
      <c r="I218" s="293">
        <f>E218*F218</f>
        <v>7.26</v>
      </c>
      <c r="J218" s="293">
        <f>E218*G218</f>
        <v>25.72</v>
      </c>
      <c r="K218" s="293">
        <f>I218+J218</f>
        <v>32.98</v>
      </c>
      <c r="L218" s="176"/>
      <c r="M218" s="178"/>
      <c r="N218" s="177">
        <v>3.49</v>
      </c>
      <c r="O218" s="177">
        <v>1.2</v>
      </c>
    </row>
    <row r="219" spans="1:15" s="246" customFormat="1" ht="12.75">
      <c r="A219" s="210" t="s">
        <v>602</v>
      </c>
      <c r="B219" s="210" t="s">
        <v>456</v>
      </c>
      <c r="C219" s="212" t="s">
        <v>457</v>
      </c>
      <c r="D219" s="210" t="s">
        <v>38</v>
      </c>
      <c r="E219" s="262">
        <v>16</v>
      </c>
      <c r="F219" s="282">
        <v>3.88</v>
      </c>
      <c r="G219" s="282">
        <f>2.52+3.24</f>
        <v>5.76</v>
      </c>
      <c r="H219" s="293">
        <f>F219+G219</f>
        <v>9.64</v>
      </c>
      <c r="I219" s="293">
        <f>E219*F219</f>
        <v>62.08</v>
      </c>
      <c r="J219" s="293">
        <f>E219*G219</f>
        <v>92.16</v>
      </c>
      <c r="K219" s="293">
        <f>I219+J219</f>
        <v>154.24</v>
      </c>
      <c r="L219" s="176"/>
      <c r="M219" s="175"/>
      <c r="N219" s="245"/>
      <c r="O219" s="245"/>
    </row>
    <row r="220" spans="1:15" s="129" customFormat="1" ht="12.75">
      <c r="A220" s="241"/>
      <c r="B220" s="241"/>
      <c r="C220" s="242" t="s">
        <v>29</v>
      </c>
      <c r="D220" s="319"/>
      <c r="E220" s="266"/>
      <c r="F220" s="297"/>
      <c r="G220" s="297"/>
      <c r="H220" s="297"/>
      <c r="I220" s="302"/>
      <c r="J220" s="302"/>
      <c r="K220" s="297"/>
      <c r="L220" s="243">
        <f>SUM(K217:K219)</f>
        <v>387.86</v>
      </c>
      <c r="M220" s="246"/>
      <c r="N220" s="181"/>
      <c r="O220" s="181"/>
    </row>
    <row r="221" spans="1:15" s="175" customFormat="1" ht="12.75">
      <c r="A221" s="179"/>
      <c r="B221" s="179"/>
      <c r="C221" s="180" t="s">
        <v>191</v>
      </c>
      <c r="D221" s="179"/>
      <c r="E221" s="260"/>
      <c r="F221" s="283"/>
      <c r="G221" s="283"/>
      <c r="H221" s="287"/>
      <c r="I221" s="288">
        <f>SUM(I195:I220)</f>
        <v>5972.97</v>
      </c>
      <c r="J221" s="288">
        <f>SUM(J195:J220)</f>
        <v>3886.81</v>
      </c>
      <c r="K221" s="283"/>
      <c r="L221" s="182">
        <f>SUM(L195:L220)</f>
        <v>9859.78</v>
      </c>
      <c r="M221" s="377">
        <f>L221*K295+(L221)</f>
        <v>12104.85</v>
      </c>
      <c r="N221" s="163"/>
      <c r="O221" s="163"/>
    </row>
    <row r="222" spans="1:15" s="175" customFormat="1" ht="12.75">
      <c r="A222" s="160"/>
      <c r="B222" s="160"/>
      <c r="C222" s="167"/>
      <c r="D222" s="166"/>
      <c r="E222" s="264"/>
      <c r="F222" s="299"/>
      <c r="G222" s="299"/>
      <c r="H222" s="299"/>
      <c r="I222" s="303"/>
      <c r="J222" s="303"/>
      <c r="K222" s="299"/>
      <c r="L222" s="169"/>
      <c r="N222" s="173"/>
      <c r="O222" s="172"/>
    </row>
    <row r="223" spans="1:15" s="129" customFormat="1" ht="12.75">
      <c r="A223" s="107">
        <v>7</v>
      </c>
      <c r="B223" s="107"/>
      <c r="C223" s="105" t="s">
        <v>20</v>
      </c>
      <c r="D223" s="139"/>
      <c r="E223" s="263"/>
      <c r="F223" s="282"/>
      <c r="G223" s="289"/>
      <c r="H223" s="284"/>
      <c r="I223" s="292"/>
      <c r="J223" s="292"/>
      <c r="K223" s="292"/>
      <c r="L223" s="140"/>
      <c r="N223" s="132"/>
      <c r="O223" s="134"/>
    </row>
    <row r="224" spans="1:15" s="129" customFormat="1" ht="12.75">
      <c r="A224" s="107" t="s">
        <v>603</v>
      </c>
      <c r="B224" s="107"/>
      <c r="C224" s="105" t="s">
        <v>51</v>
      </c>
      <c r="D224" s="139"/>
      <c r="E224" s="263"/>
      <c r="F224" s="282"/>
      <c r="G224" s="289"/>
      <c r="H224" s="284"/>
      <c r="I224" s="292"/>
      <c r="J224" s="292"/>
      <c r="K224" s="292"/>
      <c r="L224" s="140"/>
      <c r="N224" s="132">
        <v>0.68</v>
      </c>
      <c r="O224" s="134">
        <v>1.38</v>
      </c>
    </row>
    <row r="225" spans="1:15" s="129" customFormat="1" ht="12.75">
      <c r="A225" s="142" t="s">
        <v>509</v>
      </c>
      <c r="B225" s="142" t="s">
        <v>510</v>
      </c>
      <c r="C225" s="205" t="s">
        <v>511</v>
      </c>
      <c r="D225" s="142" t="s">
        <v>35</v>
      </c>
      <c r="E225" s="342">
        <f>127+87.42</f>
        <v>214.42</v>
      </c>
      <c r="F225" s="343">
        <v>0.27</v>
      </c>
      <c r="G225" s="343">
        <v>2.03</v>
      </c>
      <c r="H225" s="293">
        <f>F225+G225</f>
        <v>2.3</v>
      </c>
      <c r="I225" s="293">
        <f>E225*F225</f>
        <v>57.89</v>
      </c>
      <c r="J225" s="293">
        <f>E225*G225</f>
        <v>435.27</v>
      </c>
      <c r="K225" s="293">
        <f>I225+J225</f>
        <v>493.16</v>
      </c>
      <c r="L225" s="143"/>
      <c r="N225" s="132">
        <v>526.43</v>
      </c>
      <c r="O225" s="339">
        <v>323.95</v>
      </c>
    </row>
    <row r="226" spans="1:15" s="129" customFormat="1" ht="12.75">
      <c r="A226" s="368"/>
      <c r="B226" s="368"/>
      <c r="C226" s="364" t="s">
        <v>185</v>
      </c>
      <c r="D226" s="368"/>
      <c r="E226" s="372"/>
      <c r="F226" s="286"/>
      <c r="G226" s="286"/>
      <c r="H226" s="291"/>
      <c r="I226" s="286"/>
      <c r="J226" s="286"/>
      <c r="K226" s="286"/>
      <c r="L226" s="366">
        <f>SUM(K225)</f>
        <v>493.16</v>
      </c>
      <c r="M226" s="367"/>
      <c r="N226" s="132"/>
      <c r="O226" s="351"/>
    </row>
    <row r="227" spans="1:15" s="175" customFormat="1" ht="12.75" collapsed="1">
      <c r="A227" s="359"/>
      <c r="B227" s="359"/>
      <c r="C227" s="360" t="s">
        <v>191</v>
      </c>
      <c r="D227" s="359"/>
      <c r="E227" s="371"/>
      <c r="F227" s="283"/>
      <c r="G227" s="283"/>
      <c r="H227" s="287"/>
      <c r="I227" s="288">
        <f>I225</f>
        <v>57.89</v>
      </c>
      <c r="J227" s="288">
        <f>J225</f>
        <v>435.27</v>
      </c>
      <c r="K227" s="283"/>
      <c r="L227" s="362">
        <f>SUM(L223:L226)</f>
        <v>493.16</v>
      </c>
      <c r="M227" s="377">
        <f>L227*$K$295+(L227)</f>
        <v>605.45</v>
      </c>
      <c r="N227" s="163"/>
      <c r="O227" s="163"/>
    </row>
    <row r="228" spans="1:15" s="129" customFormat="1" ht="12.75" hidden="1" outlineLevel="1">
      <c r="A228" s="179"/>
      <c r="B228" s="179"/>
      <c r="C228" s="180" t="s">
        <v>192</v>
      </c>
      <c r="D228" s="179"/>
      <c r="E228" s="260"/>
      <c r="F228" s="283"/>
      <c r="G228" s="283"/>
      <c r="H228" s="287"/>
      <c r="I228" s="288">
        <f>SUM(I223:I227)</f>
        <v>115.78</v>
      </c>
      <c r="J228" s="288">
        <f>SUM(J223:J227)</f>
        <v>870.54</v>
      </c>
      <c r="K228" s="283"/>
      <c r="L228" s="182">
        <f>SUM(L223:L227)</f>
        <v>986.32</v>
      </c>
      <c r="M228" s="248"/>
      <c r="N228" s="132"/>
      <c r="O228" s="134"/>
    </row>
    <row r="229" spans="1:15" s="129" customFormat="1" ht="12.75" hidden="1" outlineLevel="1">
      <c r="A229" s="139"/>
      <c r="B229" s="139"/>
      <c r="C229" s="106"/>
      <c r="D229" s="139"/>
      <c r="E229" s="263"/>
      <c r="F229" s="282"/>
      <c r="G229" s="289"/>
      <c r="H229" s="284"/>
      <c r="I229" s="292"/>
      <c r="J229" s="292"/>
      <c r="K229" s="292"/>
      <c r="L229" s="135"/>
      <c r="N229" s="132"/>
      <c r="O229" s="134"/>
    </row>
    <row r="230" spans="1:15" s="129" customFormat="1" ht="12.75" hidden="1" outlineLevel="1">
      <c r="A230" s="139"/>
      <c r="B230" s="139"/>
      <c r="C230" s="106"/>
      <c r="D230" s="139"/>
      <c r="E230" s="263"/>
      <c r="F230" s="282"/>
      <c r="G230" s="289"/>
      <c r="H230" s="284"/>
      <c r="I230" s="292"/>
      <c r="J230" s="292"/>
      <c r="K230" s="292"/>
      <c r="L230" s="135"/>
      <c r="N230" s="132"/>
      <c r="O230" s="134"/>
    </row>
    <row r="231" spans="1:15" s="129" customFormat="1" ht="12.75" hidden="1" outlineLevel="1">
      <c r="A231" s="107">
        <v>9</v>
      </c>
      <c r="B231" s="107"/>
      <c r="C231" s="105" t="s">
        <v>33</v>
      </c>
      <c r="D231" s="139"/>
      <c r="E231" s="263"/>
      <c r="F231" s="282"/>
      <c r="G231" s="289"/>
      <c r="H231" s="284"/>
      <c r="I231" s="292"/>
      <c r="J231" s="292"/>
      <c r="K231" s="292"/>
      <c r="L231" s="140"/>
      <c r="N231" s="132"/>
      <c r="O231" s="134"/>
    </row>
    <row r="232" spans="1:15" s="129" customFormat="1" ht="12.75" hidden="1" outlineLevel="1">
      <c r="A232" s="107" t="s">
        <v>199</v>
      </c>
      <c r="B232" s="107"/>
      <c r="C232" s="105" t="s">
        <v>52</v>
      </c>
      <c r="D232" s="139"/>
      <c r="E232" s="263"/>
      <c r="F232" s="282"/>
      <c r="G232" s="289"/>
      <c r="H232" s="284"/>
      <c r="I232" s="292"/>
      <c r="J232" s="292"/>
      <c r="K232" s="292"/>
      <c r="L232" s="140"/>
      <c r="N232" s="201"/>
      <c r="O232" s="134">
        <v>10400.64</v>
      </c>
    </row>
    <row r="233" spans="1:15" s="129" customFormat="1" ht="12.75" hidden="1" outlineLevel="1">
      <c r="A233" s="139" t="s">
        <v>200</v>
      </c>
      <c r="B233" s="139"/>
      <c r="C233" s="204" t="s">
        <v>186</v>
      </c>
      <c r="D233" s="139" t="s">
        <v>36</v>
      </c>
      <c r="E233" s="263">
        <v>1</v>
      </c>
      <c r="F233" s="283">
        <f>N232*$P$8</f>
        <v>0</v>
      </c>
      <c r="G233" s="282">
        <f>O232*$P$8</f>
        <v>13312.82</v>
      </c>
      <c r="H233" s="284">
        <f>G233+F233</f>
        <v>13312.82</v>
      </c>
      <c r="I233" s="282">
        <f>F233*E233</f>
        <v>0</v>
      </c>
      <c r="J233" s="282">
        <f>G233*E233</f>
        <v>13312.82</v>
      </c>
      <c r="K233" s="282">
        <f>I233+J233</f>
        <v>13312.82</v>
      </c>
      <c r="L233" s="140"/>
      <c r="N233" s="201"/>
      <c r="O233" s="134">
        <v>3900.24</v>
      </c>
    </row>
    <row r="234" spans="1:15" s="129" customFormat="1" ht="12.75" hidden="1" outlineLevel="1">
      <c r="A234" s="139" t="s">
        <v>201</v>
      </c>
      <c r="B234" s="139"/>
      <c r="C234" s="204" t="s">
        <v>53</v>
      </c>
      <c r="D234" s="139" t="s">
        <v>36</v>
      </c>
      <c r="E234" s="263">
        <v>3</v>
      </c>
      <c r="F234" s="283">
        <f aca="true" t="shared" si="24" ref="F234:F241">N233*$P$8</f>
        <v>0</v>
      </c>
      <c r="G234" s="282">
        <f aca="true" t="shared" si="25" ref="G234:G241">O233*$P$8</f>
        <v>4992.31</v>
      </c>
      <c r="H234" s="284">
        <f aca="true" t="shared" si="26" ref="H234:H241">G234+F234</f>
        <v>4992.31</v>
      </c>
      <c r="I234" s="282">
        <f aca="true" t="shared" si="27" ref="I234:I241">F234*E234</f>
        <v>0</v>
      </c>
      <c r="J234" s="282">
        <f aca="true" t="shared" si="28" ref="J234:J241">G234*E234</f>
        <v>14976.93</v>
      </c>
      <c r="K234" s="282">
        <f aca="true" t="shared" si="29" ref="K234:K241">I234+J234</f>
        <v>14976.93</v>
      </c>
      <c r="L234" s="140"/>
      <c r="N234" s="201"/>
      <c r="O234" s="134">
        <v>2732.4</v>
      </c>
    </row>
    <row r="235" spans="1:15" s="129" customFormat="1" ht="12.75" hidden="1" outlineLevel="1">
      <c r="A235" s="139" t="s">
        <v>202</v>
      </c>
      <c r="B235" s="139"/>
      <c r="C235" s="204" t="s">
        <v>54</v>
      </c>
      <c r="D235" s="139" t="s">
        <v>36</v>
      </c>
      <c r="E235" s="263">
        <v>0</v>
      </c>
      <c r="F235" s="283">
        <f t="shared" si="24"/>
        <v>0</v>
      </c>
      <c r="G235" s="282">
        <f t="shared" si="25"/>
        <v>3497.47</v>
      </c>
      <c r="H235" s="284">
        <f t="shared" si="26"/>
        <v>3497.47</v>
      </c>
      <c r="I235" s="282">
        <f t="shared" si="27"/>
        <v>0</v>
      </c>
      <c r="J235" s="282">
        <f t="shared" si="28"/>
        <v>0</v>
      </c>
      <c r="K235" s="282">
        <f t="shared" si="29"/>
        <v>0</v>
      </c>
      <c r="L235" s="140"/>
      <c r="N235" s="201"/>
      <c r="O235" s="134">
        <v>2732.4</v>
      </c>
    </row>
    <row r="236" spans="1:15" s="129" customFormat="1" ht="12.75" hidden="1" outlineLevel="1">
      <c r="A236" s="139" t="s">
        <v>203</v>
      </c>
      <c r="B236" s="139"/>
      <c r="C236" s="204" t="s">
        <v>55</v>
      </c>
      <c r="D236" s="139" t="s">
        <v>36</v>
      </c>
      <c r="E236" s="263">
        <v>0</v>
      </c>
      <c r="F236" s="283">
        <f t="shared" si="24"/>
        <v>0</v>
      </c>
      <c r="G236" s="282">
        <f t="shared" si="25"/>
        <v>3497.47</v>
      </c>
      <c r="H236" s="284">
        <f t="shared" si="26"/>
        <v>3497.47</v>
      </c>
      <c r="I236" s="282">
        <f t="shared" si="27"/>
        <v>0</v>
      </c>
      <c r="J236" s="282">
        <f t="shared" si="28"/>
        <v>0</v>
      </c>
      <c r="K236" s="282">
        <f t="shared" si="29"/>
        <v>0</v>
      </c>
      <c r="L236" s="140"/>
      <c r="N236" s="201"/>
      <c r="O236" s="134">
        <v>1782</v>
      </c>
    </row>
    <row r="237" spans="1:15" s="129" customFormat="1" ht="12.75" hidden="1" outlineLevel="1">
      <c r="A237" s="139" t="s">
        <v>204</v>
      </c>
      <c r="B237" s="139"/>
      <c r="C237" s="204" t="s">
        <v>8</v>
      </c>
      <c r="D237" s="139" t="s">
        <v>36</v>
      </c>
      <c r="E237" s="263">
        <v>0</v>
      </c>
      <c r="F237" s="283">
        <f t="shared" si="24"/>
        <v>0</v>
      </c>
      <c r="G237" s="282">
        <f t="shared" si="25"/>
        <v>2280.96</v>
      </c>
      <c r="H237" s="284">
        <f t="shared" si="26"/>
        <v>2280.96</v>
      </c>
      <c r="I237" s="282">
        <f t="shared" si="27"/>
        <v>0</v>
      </c>
      <c r="J237" s="282">
        <f t="shared" si="28"/>
        <v>0</v>
      </c>
      <c r="K237" s="282">
        <f t="shared" si="29"/>
        <v>0</v>
      </c>
      <c r="L237" s="140"/>
      <c r="N237" s="201"/>
      <c r="O237" s="134">
        <v>1538</v>
      </c>
    </row>
    <row r="238" spans="1:15" s="129" customFormat="1" ht="12.75" hidden="1" outlineLevel="1">
      <c r="A238" s="139" t="s">
        <v>205</v>
      </c>
      <c r="B238" s="139"/>
      <c r="C238" s="204" t="s">
        <v>56</v>
      </c>
      <c r="D238" s="139" t="s">
        <v>36</v>
      </c>
      <c r="E238" s="263">
        <v>0</v>
      </c>
      <c r="F238" s="283">
        <f t="shared" si="24"/>
        <v>0</v>
      </c>
      <c r="G238" s="282">
        <f t="shared" si="25"/>
        <v>1968.64</v>
      </c>
      <c r="H238" s="284">
        <f t="shared" si="26"/>
        <v>1968.64</v>
      </c>
      <c r="I238" s="282">
        <f t="shared" si="27"/>
        <v>0</v>
      </c>
      <c r="J238" s="282">
        <f t="shared" si="28"/>
        <v>0</v>
      </c>
      <c r="K238" s="282">
        <f t="shared" si="29"/>
        <v>0</v>
      </c>
      <c r="L238" s="140"/>
      <c r="N238" s="201"/>
      <c r="O238" s="134">
        <v>1782</v>
      </c>
    </row>
    <row r="239" spans="1:15" s="129" customFormat="1" ht="12.75" hidden="1" outlineLevel="1">
      <c r="A239" s="139" t="s">
        <v>206</v>
      </c>
      <c r="B239" s="139"/>
      <c r="C239" s="204" t="s">
        <v>57</v>
      </c>
      <c r="D239" s="139" t="s">
        <v>36</v>
      </c>
      <c r="E239" s="263">
        <v>0</v>
      </c>
      <c r="F239" s="283">
        <f t="shared" si="24"/>
        <v>0</v>
      </c>
      <c r="G239" s="282">
        <f t="shared" si="25"/>
        <v>2280.96</v>
      </c>
      <c r="H239" s="284">
        <f t="shared" si="26"/>
        <v>2280.96</v>
      </c>
      <c r="I239" s="282">
        <f t="shared" si="27"/>
        <v>0</v>
      </c>
      <c r="J239" s="282">
        <f t="shared" si="28"/>
        <v>0</v>
      </c>
      <c r="K239" s="282">
        <f t="shared" si="29"/>
        <v>0</v>
      </c>
      <c r="L239" s="140"/>
      <c r="N239" s="201"/>
      <c r="O239" s="134">
        <v>1094.86</v>
      </c>
    </row>
    <row r="240" spans="1:15" s="129" customFormat="1" ht="12.75" hidden="1" outlineLevel="1">
      <c r="A240" s="139" t="s">
        <v>207</v>
      </c>
      <c r="B240" s="139"/>
      <c r="C240" s="204" t="s">
        <v>150</v>
      </c>
      <c r="D240" s="139" t="s">
        <v>36</v>
      </c>
      <c r="E240" s="263">
        <v>0</v>
      </c>
      <c r="F240" s="283">
        <f t="shared" si="24"/>
        <v>0</v>
      </c>
      <c r="G240" s="282">
        <f t="shared" si="25"/>
        <v>1401.42</v>
      </c>
      <c r="H240" s="284">
        <f t="shared" si="26"/>
        <v>1401.42</v>
      </c>
      <c r="I240" s="282">
        <f t="shared" si="27"/>
        <v>0</v>
      </c>
      <c r="J240" s="282">
        <f t="shared" si="28"/>
        <v>0</v>
      </c>
      <c r="K240" s="282">
        <f t="shared" si="29"/>
        <v>0</v>
      </c>
      <c r="L240" s="140"/>
      <c r="N240" s="201"/>
      <c r="O240" s="134">
        <v>1613.58</v>
      </c>
    </row>
    <row r="241" spans="1:15" s="235" customFormat="1" ht="12.75" hidden="1" outlineLevel="1">
      <c r="A241" s="139" t="s">
        <v>208</v>
      </c>
      <c r="B241" s="139"/>
      <c r="C241" s="204" t="s">
        <v>58</v>
      </c>
      <c r="D241" s="139" t="s">
        <v>36</v>
      </c>
      <c r="E241" s="263">
        <v>0</v>
      </c>
      <c r="F241" s="283">
        <f t="shared" si="24"/>
        <v>0</v>
      </c>
      <c r="G241" s="282">
        <f t="shared" si="25"/>
        <v>2065.38</v>
      </c>
      <c r="H241" s="284">
        <f t="shared" si="26"/>
        <v>2065.38</v>
      </c>
      <c r="I241" s="282">
        <f t="shared" si="27"/>
        <v>0</v>
      </c>
      <c r="J241" s="282">
        <f t="shared" si="28"/>
        <v>0</v>
      </c>
      <c r="K241" s="282">
        <f t="shared" si="29"/>
        <v>0</v>
      </c>
      <c r="L241" s="140"/>
      <c r="M241" s="129"/>
      <c r="N241" s="233"/>
      <c r="O241" s="233"/>
    </row>
    <row r="242" spans="1:15" s="129" customFormat="1" ht="12.75" hidden="1" outlineLevel="1">
      <c r="A242" s="236"/>
      <c r="B242" s="236"/>
      <c r="C242" s="232" t="s">
        <v>185</v>
      </c>
      <c r="D242" s="236"/>
      <c r="E242" s="261"/>
      <c r="F242" s="286"/>
      <c r="G242" s="286"/>
      <c r="H242" s="291"/>
      <c r="I242" s="286"/>
      <c r="J242" s="286"/>
      <c r="K242" s="286"/>
      <c r="L242" s="234">
        <f>SUM(K233:K241)</f>
        <v>28289.75</v>
      </c>
      <c r="M242" s="235"/>
      <c r="N242" s="132"/>
      <c r="O242" s="134"/>
    </row>
    <row r="243" spans="1:15" s="129" customFormat="1" ht="12.75" hidden="1" outlineLevel="1">
      <c r="A243" s="107" t="s">
        <v>209</v>
      </c>
      <c r="B243" s="107"/>
      <c r="C243" s="105" t="s">
        <v>59</v>
      </c>
      <c r="D243" s="139"/>
      <c r="E243" s="263"/>
      <c r="F243" s="282"/>
      <c r="G243" s="289"/>
      <c r="H243" s="284"/>
      <c r="I243" s="292"/>
      <c r="J243" s="292"/>
      <c r="K243" s="292"/>
      <c r="L243" s="140"/>
      <c r="N243" s="132">
        <f>(10*22)*6</f>
        <v>1320</v>
      </c>
      <c r="O243" s="201"/>
    </row>
    <row r="244" spans="1:15" s="129" customFormat="1" ht="12.75" hidden="1" outlineLevel="1">
      <c r="A244" s="139" t="s">
        <v>210</v>
      </c>
      <c r="B244" s="139"/>
      <c r="C244" s="204" t="s">
        <v>60</v>
      </c>
      <c r="D244" s="139" t="s">
        <v>36</v>
      </c>
      <c r="E244" s="263">
        <v>3</v>
      </c>
      <c r="F244" s="282">
        <f>N243*$P$8</f>
        <v>1689.6</v>
      </c>
      <c r="G244" s="283">
        <f>O243*$P$8</f>
        <v>0</v>
      </c>
      <c r="H244" s="284">
        <f aca="true" t="shared" si="30" ref="H244:H252">G244+F244</f>
        <v>1689.6</v>
      </c>
      <c r="I244" s="282">
        <f aca="true" t="shared" si="31" ref="I244:I252">F244*E244</f>
        <v>5068.8</v>
      </c>
      <c r="J244" s="282">
        <f aca="true" t="shared" si="32" ref="J244:J252">G244*E244</f>
        <v>0</v>
      </c>
      <c r="K244" s="282">
        <f aca="true" t="shared" si="33" ref="K244:K252">I244+J244</f>
        <v>5068.8</v>
      </c>
      <c r="L244" s="140"/>
      <c r="N244" s="132">
        <f>(1.7*20)*6</f>
        <v>204</v>
      </c>
      <c r="O244" s="201"/>
    </row>
    <row r="245" spans="1:15" s="129" customFormat="1" ht="12.75" hidden="1" outlineLevel="1">
      <c r="A245" s="139" t="s">
        <v>211</v>
      </c>
      <c r="B245" s="139"/>
      <c r="C245" s="204" t="s">
        <v>61</v>
      </c>
      <c r="D245" s="139" t="s">
        <v>36</v>
      </c>
      <c r="E245" s="263">
        <v>3</v>
      </c>
      <c r="F245" s="282">
        <f aca="true" t="shared" si="34" ref="F245:F252">N244*$P$8</f>
        <v>261.12</v>
      </c>
      <c r="G245" s="283">
        <f aca="true" t="shared" si="35" ref="G245:G252">O244*$P$8</f>
        <v>0</v>
      </c>
      <c r="H245" s="284">
        <f t="shared" si="30"/>
        <v>261.12</v>
      </c>
      <c r="I245" s="282">
        <f t="shared" si="31"/>
        <v>783.36</v>
      </c>
      <c r="J245" s="282">
        <f t="shared" si="32"/>
        <v>0</v>
      </c>
      <c r="K245" s="282">
        <f t="shared" si="33"/>
        <v>783.36</v>
      </c>
      <c r="L245" s="140"/>
      <c r="N245" s="132">
        <v>50</v>
      </c>
      <c r="O245" s="201"/>
    </row>
    <row r="246" spans="1:15" s="129" customFormat="1" ht="12.75" hidden="1" outlineLevel="1">
      <c r="A246" s="139" t="s">
        <v>212</v>
      </c>
      <c r="B246" s="139"/>
      <c r="C246" s="204" t="s">
        <v>94</v>
      </c>
      <c r="D246" s="139" t="s">
        <v>36</v>
      </c>
      <c r="E246" s="263">
        <v>3</v>
      </c>
      <c r="F246" s="282">
        <f t="shared" si="34"/>
        <v>64</v>
      </c>
      <c r="G246" s="283">
        <f t="shared" si="35"/>
        <v>0</v>
      </c>
      <c r="H246" s="284">
        <f t="shared" si="30"/>
        <v>64</v>
      </c>
      <c r="I246" s="282">
        <f t="shared" si="31"/>
        <v>192</v>
      </c>
      <c r="J246" s="282">
        <f t="shared" si="32"/>
        <v>0</v>
      </c>
      <c r="K246" s="282">
        <f t="shared" si="33"/>
        <v>192</v>
      </c>
      <c r="L246" s="140"/>
      <c r="N246" s="132">
        <v>180</v>
      </c>
      <c r="O246" s="201"/>
    </row>
    <row r="247" spans="1:15" s="129" customFormat="1" ht="12.75" hidden="1" outlineLevel="1">
      <c r="A247" s="139" t="s">
        <v>213</v>
      </c>
      <c r="B247" s="139"/>
      <c r="C247" s="204" t="s">
        <v>95</v>
      </c>
      <c r="D247" s="139" t="s">
        <v>36</v>
      </c>
      <c r="E247" s="263">
        <v>3</v>
      </c>
      <c r="F247" s="282">
        <f t="shared" si="34"/>
        <v>230.4</v>
      </c>
      <c r="G247" s="283">
        <f t="shared" si="35"/>
        <v>0</v>
      </c>
      <c r="H247" s="284">
        <f t="shared" si="30"/>
        <v>230.4</v>
      </c>
      <c r="I247" s="282">
        <f t="shared" si="31"/>
        <v>691.2</v>
      </c>
      <c r="J247" s="282">
        <f t="shared" si="32"/>
        <v>0</v>
      </c>
      <c r="K247" s="282">
        <f t="shared" si="33"/>
        <v>691.2</v>
      </c>
      <c r="L247" s="140"/>
      <c r="N247" s="132">
        <v>120</v>
      </c>
      <c r="O247" s="201"/>
    </row>
    <row r="248" spans="1:15" s="129" customFormat="1" ht="12.75" hidden="1" outlineLevel="1">
      <c r="A248" s="139" t="s">
        <v>214</v>
      </c>
      <c r="B248" s="139"/>
      <c r="C248" s="204" t="s">
        <v>96</v>
      </c>
      <c r="D248" s="139" t="s">
        <v>36</v>
      </c>
      <c r="E248" s="263">
        <v>3</v>
      </c>
      <c r="F248" s="282">
        <f t="shared" si="34"/>
        <v>153.6</v>
      </c>
      <c r="G248" s="283">
        <f t="shared" si="35"/>
        <v>0</v>
      </c>
      <c r="H248" s="284">
        <f t="shared" si="30"/>
        <v>153.6</v>
      </c>
      <c r="I248" s="282">
        <f t="shared" si="31"/>
        <v>460.8</v>
      </c>
      <c r="J248" s="282">
        <f t="shared" si="32"/>
        <v>0</v>
      </c>
      <c r="K248" s="282">
        <f t="shared" si="33"/>
        <v>460.8</v>
      </c>
      <c r="L248" s="140"/>
      <c r="N248" s="132">
        <v>180</v>
      </c>
      <c r="O248" s="201"/>
    </row>
    <row r="249" spans="1:15" s="129" customFormat="1" ht="12.75" hidden="1" outlineLevel="1">
      <c r="A249" s="139" t="s">
        <v>215</v>
      </c>
      <c r="B249" s="139"/>
      <c r="C249" s="204" t="s">
        <v>97</v>
      </c>
      <c r="D249" s="139" t="s">
        <v>36</v>
      </c>
      <c r="E249" s="263">
        <v>3</v>
      </c>
      <c r="F249" s="282">
        <f t="shared" si="34"/>
        <v>230.4</v>
      </c>
      <c r="G249" s="283">
        <f t="shared" si="35"/>
        <v>0</v>
      </c>
      <c r="H249" s="284">
        <f t="shared" si="30"/>
        <v>230.4</v>
      </c>
      <c r="I249" s="282">
        <f t="shared" si="31"/>
        <v>691.2</v>
      </c>
      <c r="J249" s="282">
        <f t="shared" si="32"/>
        <v>0</v>
      </c>
      <c r="K249" s="282">
        <f t="shared" si="33"/>
        <v>691.2</v>
      </c>
      <c r="L249" s="140"/>
      <c r="N249" s="132">
        <v>720</v>
      </c>
      <c r="O249" s="201"/>
    </row>
    <row r="250" spans="1:15" s="129" customFormat="1" ht="12.75" hidden="1" outlineLevel="1">
      <c r="A250" s="139" t="s">
        <v>216</v>
      </c>
      <c r="B250" s="139"/>
      <c r="C250" s="204" t="s">
        <v>98</v>
      </c>
      <c r="D250" s="139" t="s">
        <v>36</v>
      </c>
      <c r="E250" s="263">
        <v>3</v>
      </c>
      <c r="F250" s="282">
        <f t="shared" si="34"/>
        <v>921.6</v>
      </c>
      <c r="G250" s="283">
        <f t="shared" si="35"/>
        <v>0</v>
      </c>
      <c r="H250" s="284">
        <f t="shared" si="30"/>
        <v>921.6</v>
      </c>
      <c r="I250" s="282">
        <f t="shared" si="31"/>
        <v>2764.8</v>
      </c>
      <c r="J250" s="282">
        <f t="shared" si="32"/>
        <v>0</v>
      </c>
      <c r="K250" s="282">
        <f t="shared" si="33"/>
        <v>2764.8</v>
      </c>
      <c r="L250" s="140"/>
      <c r="N250" s="132">
        <v>500</v>
      </c>
      <c r="O250" s="201"/>
    </row>
    <row r="251" spans="1:15" s="129" customFormat="1" ht="12.75" hidden="1" outlineLevel="1">
      <c r="A251" s="139" t="s">
        <v>217</v>
      </c>
      <c r="B251" s="139"/>
      <c r="C251" s="204" t="s">
        <v>99</v>
      </c>
      <c r="D251" s="139" t="s">
        <v>36</v>
      </c>
      <c r="E251" s="263">
        <v>3</v>
      </c>
      <c r="F251" s="282">
        <f t="shared" si="34"/>
        <v>640</v>
      </c>
      <c r="G251" s="283">
        <f t="shared" si="35"/>
        <v>0</v>
      </c>
      <c r="H251" s="284">
        <f t="shared" si="30"/>
        <v>640</v>
      </c>
      <c r="I251" s="282">
        <f t="shared" si="31"/>
        <v>1920</v>
      </c>
      <c r="J251" s="282">
        <f t="shared" si="32"/>
        <v>0</v>
      </c>
      <c r="K251" s="282">
        <f t="shared" si="33"/>
        <v>1920</v>
      </c>
      <c r="L251" s="140"/>
      <c r="N251" s="132">
        <v>30</v>
      </c>
      <c r="O251" s="201"/>
    </row>
    <row r="252" spans="1:15" s="235" customFormat="1" ht="12.75" hidden="1" outlineLevel="1">
      <c r="A252" s="139" t="s">
        <v>218</v>
      </c>
      <c r="B252" s="139"/>
      <c r="C252" s="204" t="s">
        <v>151</v>
      </c>
      <c r="D252" s="139" t="s">
        <v>38</v>
      </c>
      <c r="E252" s="263">
        <v>3</v>
      </c>
      <c r="F252" s="282">
        <f t="shared" si="34"/>
        <v>38.4</v>
      </c>
      <c r="G252" s="283">
        <f t="shared" si="35"/>
        <v>0</v>
      </c>
      <c r="H252" s="284">
        <f t="shared" si="30"/>
        <v>38.4</v>
      </c>
      <c r="I252" s="282">
        <f t="shared" si="31"/>
        <v>115.2</v>
      </c>
      <c r="J252" s="282">
        <f t="shared" si="32"/>
        <v>0</v>
      </c>
      <c r="K252" s="282">
        <f t="shared" si="33"/>
        <v>115.2</v>
      </c>
      <c r="L252" s="140"/>
      <c r="M252" s="129"/>
      <c r="N252" s="233"/>
      <c r="O252" s="233"/>
    </row>
    <row r="253" spans="1:15" s="129" customFormat="1" ht="12.75" hidden="1" outlineLevel="1">
      <c r="A253" s="236"/>
      <c r="B253" s="236"/>
      <c r="C253" s="232" t="s">
        <v>185</v>
      </c>
      <c r="D253" s="236"/>
      <c r="E253" s="261"/>
      <c r="F253" s="286"/>
      <c r="G253" s="286"/>
      <c r="H253" s="291"/>
      <c r="I253" s="286"/>
      <c r="J253" s="286"/>
      <c r="K253" s="286"/>
      <c r="L253" s="234">
        <f>SUM(K244:K252)</f>
        <v>12687.36</v>
      </c>
      <c r="M253" s="235"/>
      <c r="N253" s="132"/>
      <c r="O253" s="134"/>
    </row>
    <row r="254" spans="1:15" s="129" customFormat="1" ht="12.75" hidden="1" outlineLevel="1">
      <c r="A254" s="107" t="s">
        <v>219</v>
      </c>
      <c r="B254" s="107"/>
      <c r="C254" s="105" t="s">
        <v>100</v>
      </c>
      <c r="D254" s="139"/>
      <c r="E254" s="263"/>
      <c r="F254" s="282"/>
      <c r="G254" s="289"/>
      <c r="H254" s="284"/>
      <c r="I254" s="292"/>
      <c r="J254" s="292"/>
      <c r="K254" s="292"/>
      <c r="L254" s="140"/>
      <c r="N254" s="132">
        <v>350</v>
      </c>
      <c r="O254" s="201"/>
    </row>
    <row r="255" spans="1:15" s="129" customFormat="1" ht="12.75" hidden="1" outlineLevel="1">
      <c r="A255" s="139" t="s">
        <v>220</v>
      </c>
      <c r="B255" s="139"/>
      <c r="C255" s="204" t="s">
        <v>152</v>
      </c>
      <c r="D255" s="139" t="s">
        <v>36</v>
      </c>
      <c r="E255" s="263">
        <v>3</v>
      </c>
      <c r="F255" s="282">
        <f>N254*$P$8</f>
        <v>448</v>
      </c>
      <c r="G255" s="283">
        <f>O254*$P$8</f>
        <v>0</v>
      </c>
      <c r="H255" s="284">
        <f aca="true" t="shared" si="36" ref="H255:H276">G255+F255</f>
        <v>448</v>
      </c>
      <c r="I255" s="282">
        <f aca="true" t="shared" si="37" ref="I255:I276">F255*E255</f>
        <v>1344</v>
      </c>
      <c r="J255" s="282">
        <f aca="true" t="shared" si="38" ref="J255:J276">G255*E255</f>
        <v>0</v>
      </c>
      <c r="K255" s="282">
        <f aca="true" t="shared" si="39" ref="K255:K276">I255+J255</f>
        <v>1344</v>
      </c>
      <c r="L255" s="140"/>
      <c r="N255" s="132">
        <v>300</v>
      </c>
      <c r="O255" s="201"/>
    </row>
    <row r="256" spans="1:15" s="129" customFormat="1" ht="12.75" hidden="1" outlineLevel="1">
      <c r="A256" s="139" t="s">
        <v>221</v>
      </c>
      <c r="B256" s="139"/>
      <c r="C256" s="204" t="s">
        <v>153</v>
      </c>
      <c r="D256" s="139" t="s">
        <v>36</v>
      </c>
      <c r="E256" s="263">
        <v>0</v>
      </c>
      <c r="F256" s="282">
        <f aca="true" t="shared" si="40" ref="F256:F276">N255*$P$8</f>
        <v>384</v>
      </c>
      <c r="G256" s="283">
        <f aca="true" t="shared" si="41" ref="G256:G276">O255*$P$8</f>
        <v>0</v>
      </c>
      <c r="H256" s="284">
        <f t="shared" si="36"/>
        <v>384</v>
      </c>
      <c r="I256" s="282">
        <f t="shared" si="37"/>
        <v>0</v>
      </c>
      <c r="J256" s="282">
        <f t="shared" si="38"/>
        <v>0</v>
      </c>
      <c r="K256" s="282">
        <f t="shared" si="39"/>
        <v>0</v>
      </c>
      <c r="L256" s="140"/>
      <c r="N256" s="132">
        <v>750</v>
      </c>
      <c r="O256" s="201"/>
    </row>
    <row r="257" spans="1:15" s="129" customFormat="1" ht="12.75" hidden="1" outlineLevel="1">
      <c r="A257" s="139" t="s">
        <v>222</v>
      </c>
      <c r="B257" s="139"/>
      <c r="C257" s="204" t="s">
        <v>154</v>
      </c>
      <c r="D257" s="139" t="s">
        <v>36</v>
      </c>
      <c r="E257" s="263">
        <v>0</v>
      </c>
      <c r="F257" s="282">
        <f t="shared" si="40"/>
        <v>960</v>
      </c>
      <c r="G257" s="283">
        <f t="shared" si="41"/>
        <v>0</v>
      </c>
      <c r="H257" s="284">
        <f t="shared" si="36"/>
        <v>960</v>
      </c>
      <c r="I257" s="282">
        <f t="shared" si="37"/>
        <v>0</v>
      </c>
      <c r="J257" s="282">
        <f t="shared" si="38"/>
        <v>0</v>
      </c>
      <c r="K257" s="282">
        <f t="shared" si="39"/>
        <v>0</v>
      </c>
      <c r="L257" s="140"/>
      <c r="N257" s="132">
        <v>1860</v>
      </c>
      <c r="O257" s="201"/>
    </row>
    <row r="258" spans="1:15" s="129" customFormat="1" ht="12.75" hidden="1" outlineLevel="1">
      <c r="A258" s="139" t="s">
        <v>223</v>
      </c>
      <c r="B258" s="139"/>
      <c r="C258" s="204" t="s">
        <v>155</v>
      </c>
      <c r="D258" s="139" t="s">
        <v>36</v>
      </c>
      <c r="E258" s="263">
        <v>0</v>
      </c>
      <c r="F258" s="282">
        <f t="shared" si="40"/>
        <v>2380.8</v>
      </c>
      <c r="G258" s="283">
        <f t="shared" si="41"/>
        <v>0</v>
      </c>
      <c r="H258" s="284">
        <f t="shared" si="36"/>
        <v>2380.8</v>
      </c>
      <c r="I258" s="282">
        <f t="shared" si="37"/>
        <v>0</v>
      </c>
      <c r="J258" s="282">
        <f t="shared" si="38"/>
        <v>0</v>
      </c>
      <c r="K258" s="282">
        <f t="shared" si="39"/>
        <v>0</v>
      </c>
      <c r="L258" s="140"/>
      <c r="N258" s="132">
        <v>120</v>
      </c>
      <c r="O258" s="201"/>
    </row>
    <row r="259" spans="1:15" s="129" customFormat="1" ht="12.75" hidden="1" outlineLevel="1">
      <c r="A259" s="139" t="s">
        <v>224</v>
      </c>
      <c r="B259" s="139"/>
      <c r="C259" s="204" t="s">
        <v>156</v>
      </c>
      <c r="D259" s="139" t="s">
        <v>36</v>
      </c>
      <c r="E259" s="263">
        <v>2</v>
      </c>
      <c r="F259" s="282">
        <f t="shared" si="40"/>
        <v>153.6</v>
      </c>
      <c r="G259" s="283">
        <f t="shared" si="41"/>
        <v>0</v>
      </c>
      <c r="H259" s="284">
        <f t="shared" si="36"/>
        <v>153.6</v>
      </c>
      <c r="I259" s="282">
        <f t="shared" si="37"/>
        <v>307.2</v>
      </c>
      <c r="J259" s="282">
        <f t="shared" si="38"/>
        <v>0</v>
      </c>
      <c r="K259" s="282">
        <f t="shared" si="39"/>
        <v>307.2</v>
      </c>
      <c r="L259" s="140"/>
      <c r="N259" s="132">
        <v>150</v>
      </c>
      <c r="O259" s="201"/>
    </row>
    <row r="260" spans="1:15" s="129" customFormat="1" ht="12.75" hidden="1" outlineLevel="1">
      <c r="A260" s="139" t="s">
        <v>225</v>
      </c>
      <c r="B260" s="139"/>
      <c r="C260" s="204" t="s">
        <v>157</v>
      </c>
      <c r="D260" s="139" t="s">
        <v>36</v>
      </c>
      <c r="E260" s="263">
        <v>2</v>
      </c>
      <c r="F260" s="282">
        <f t="shared" si="40"/>
        <v>192</v>
      </c>
      <c r="G260" s="283">
        <f t="shared" si="41"/>
        <v>0</v>
      </c>
      <c r="H260" s="284">
        <f t="shared" si="36"/>
        <v>192</v>
      </c>
      <c r="I260" s="282">
        <f t="shared" si="37"/>
        <v>384</v>
      </c>
      <c r="J260" s="282">
        <f t="shared" si="38"/>
        <v>0</v>
      </c>
      <c r="K260" s="282">
        <f t="shared" si="39"/>
        <v>384</v>
      </c>
      <c r="L260" s="140"/>
      <c r="N260" s="132">
        <v>350</v>
      </c>
      <c r="O260" s="201"/>
    </row>
    <row r="261" spans="1:15" s="129" customFormat="1" ht="12.75" hidden="1" outlineLevel="1">
      <c r="A261" s="139" t="s">
        <v>226</v>
      </c>
      <c r="B261" s="139"/>
      <c r="C261" s="204" t="s">
        <v>158</v>
      </c>
      <c r="D261" s="139" t="s">
        <v>36</v>
      </c>
      <c r="E261" s="263">
        <v>1</v>
      </c>
      <c r="F261" s="282">
        <f t="shared" si="40"/>
        <v>448</v>
      </c>
      <c r="G261" s="283">
        <f t="shared" si="41"/>
        <v>0</v>
      </c>
      <c r="H261" s="284">
        <f t="shared" si="36"/>
        <v>448</v>
      </c>
      <c r="I261" s="282">
        <f t="shared" si="37"/>
        <v>448</v>
      </c>
      <c r="J261" s="282">
        <f t="shared" si="38"/>
        <v>0</v>
      </c>
      <c r="K261" s="282">
        <f t="shared" si="39"/>
        <v>448</v>
      </c>
      <c r="L261" s="140"/>
      <c r="N261" s="132">
        <v>90</v>
      </c>
      <c r="O261" s="201"/>
    </row>
    <row r="262" spans="1:15" s="129" customFormat="1" ht="12.75" hidden="1" outlineLevel="1">
      <c r="A262" s="139" t="s">
        <v>227</v>
      </c>
      <c r="B262" s="139"/>
      <c r="C262" s="204" t="s">
        <v>159</v>
      </c>
      <c r="D262" s="139" t="s">
        <v>36</v>
      </c>
      <c r="E262" s="263">
        <v>2</v>
      </c>
      <c r="F262" s="282">
        <f t="shared" si="40"/>
        <v>115.2</v>
      </c>
      <c r="G262" s="283">
        <f t="shared" si="41"/>
        <v>0</v>
      </c>
      <c r="H262" s="284">
        <f t="shared" si="36"/>
        <v>115.2</v>
      </c>
      <c r="I262" s="282">
        <f t="shared" si="37"/>
        <v>230.4</v>
      </c>
      <c r="J262" s="282">
        <f t="shared" si="38"/>
        <v>0</v>
      </c>
      <c r="K262" s="282">
        <f t="shared" si="39"/>
        <v>230.4</v>
      </c>
      <c r="L262" s="140"/>
      <c r="N262" s="132">
        <v>100</v>
      </c>
      <c r="O262" s="201"/>
    </row>
    <row r="263" spans="1:15" s="129" customFormat="1" ht="12.75" hidden="1" outlineLevel="1">
      <c r="A263" s="139" t="s">
        <v>228</v>
      </c>
      <c r="B263" s="139"/>
      <c r="C263" s="204" t="s">
        <v>160</v>
      </c>
      <c r="D263" s="139" t="s">
        <v>36</v>
      </c>
      <c r="E263" s="263">
        <v>1</v>
      </c>
      <c r="F263" s="282">
        <f t="shared" si="40"/>
        <v>128</v>
      </c>
      <c r="G263" s="283">
        <f t="shared" si="41"/>
        <v>0</v>
      </c>
      <c r="H263" s="284">
        <f t="shared" si="36"/>
        <v>128</v>
      </c>
      <c r="I263" s="282">
        <f t="shared" si="37"/>
        <v>128</v>
      </c>
      <c r="J263" s="282">
        <f t="shared" si="38"/>
        <v>0</v>
      </c>
      <c r="K263" s="282">
        <f t="shared" si="39"/>
        <v>128</v>
      </c>
      <c r="L263" s="140"/>
      <c r="N263" s="132">
        <v>100</v>
      </c>
      <c r="O263" s="201"/>
    </row>
    <row r="264" spans="1:15" s="129" customFormat="1" ht="12.75" hidden="1" outlineLevel="1">
      <c r="A264" s="139" t="s">
        <v>229</v>
      </c>
      <c r="B264" s="139"/>
      <c r="C264" s="204" t="s">
        <v>161</v>
      </c>
      <c r="D264" s="139" t="s">
        <v>36</v>
      </c>
      <c r="E264" s="263">
        <v>1</v>
      </c>
      <c r="F264" s="282">
        <f t="shared" si="40"/>
        <v>128</v>
      </c>
      <c r="G264" s="283">
        <f t="shared" si="41"/>
        <v>0</v>
      </c>
      <c r="H264" s="284">
        <f t="shared" si="36"/>
        <v>128</v>
      </c>
      <c r="I264" s="282">
        <f t="shared" si="37"/>
        <v>128</v>
      </c>
      <c r="J264" s="282">
        <f t="shared" si="38"/>
        <v>0</v>
      </c>
      <c r="K264" s="282">
        <f t="shared" si="39"/>
        <v>128</v>
      </c>
      <c r="L264" s="140"/>
      <c r="N264" s="132">
        <v>250</v>
      </c>
      <c r="O264" s="201"/>
    </row>
    <row r="265" spans="1:15" s="129" customFormat="1" ht="12.75" hidden="1" outlineLevel="1">
      <c r="A265" s="139" t="s">
        <v>230</v>
      </c>
      <c r="B265" s="139"/>
      <c r="C265" s="204" t="s">
        <v>101</v>
      </c>
      <c r="D265" s="139" t="s">
        <v>36</v>
      </c>
      <c r="E265" s="263">
        <v>3</v>
      </c>
      <c r="F265" s="282">
        <f t="shared" si="40"/>
        <v>320</v>
      </c>
      <c r="G265" s="283">
        <f t="shared" si="41"/>
        <v>0</v>
      </c>
      <c r="H265" s="284">
        <f t="shared" si="36"/>
        <v>320</v>
      </c>
      <c r="I265" s="282">
        <f t="shared" si="37"/>
        <v>960</v>
      </c>
      <c r="J265" s="282">
        <f t="shared" si="38"/>
        <v>0</v>
      </c>
      <c r="K265" s="282">
        <f t="shared" si="39"/>
        <v>960</v>
      </c>
      <c r="L265" s="140"/>
      <c r="N265" s="132">
        <v>1000</v>
      </c>
      <c r="O265" s="201"/>
    </row>
    <row r="266" spans="1:15" s="129" customFormat="1" ht="12.75" hidden="1" outlineLevel="1">
      <c r="A266" s="139" t="s">
        <v>231</v>
      </c>
      <c r="B266" s="139"/>
      <c r="C266" s="204" t="s">
        <v>162</v>
      </c>
      <c r="D266" s="139" t="s">
        <v>36</v>
      </c>
      <c r="E266" s="263">
        <v>1</v>
      </c>
      <c r="F266" s="282">
        <f t="shared" si="40"/>
        <v>1280</v>
      </c>
      <c r="G266" s="283">
        <f t="shared" si="41"/>
        <v>0</v>
      </c>
      <c r="H266" s="284">
        <f t="shared" si="36"/>
        <v>1280</v>
      </c>
      <c r="I266" s="282">
        <f t="shared" si="37"/>
        <v>1280</v>
      </c>
      <c r="J266" s="282">
        <f t="shared" si="38"/>
        <v>0</v>
      </c>
      <c r="K266" s="282">
        <f t="shared" si="39"/>
        <v>1280</v>
      </c>
      <c r="L266" s="140"/>
      <c r="N266" s="132">
        <v>1500</v>
      </c>
      <c r="O266" s="201"/>
    </row>
    <row r="267" spans="1:15" s="129" customFormat="1" ht="12.75" hidden="1" outlineLevel="1">
      <c r="A267" s="139" t="s">
        <v>232</v>
      </c>
      <c r="B267" s="139"/>
      <c r="C267" s="204" t="s">
        <v>163</v>
      </c>
      <c r="D267" s="139" t="s">
        <v>36</v>
      </c>
      <c r="E267" s="263">
        <v>1</v>
      </c>
      <c r="F267" s="282">
        <f t="shared" si="40"/>
        <v>1920</v>
      </c>
      <c r="G267" s="283">
        <f t="shared" si="41"/>
        <v>0</v>
      </c>
      <c r="H267" s="284">
        <f t="shared" si="36"/>
        <v>1920</v>
      </c>
      <c r="I267" s="282">
        <f t="shared" si="37"/>
        <v>1920</v>
      </c>
      <c r="J267" s="282">
        <f t="shared" si="38"/>
        <v>0</v>
      </c>
      <c r="K267" s="282">
        <f t="shared" si="39"/>
        <v>1920</v>
      </c>
      <c r="L267" s="140"/>
      <c r="N267" s="132">
        <v>450</v>
      </c>
      <c r="O267" s="201"/>
    </row>
    <row r="268" spans="1:15" s="129" customFormat="1" ht="12.75" hidden="1" outlineLevel="1">
      <c r="A268" s="139" t="s">
        <v>233</v>
      </c>
      <c r="B268" s="139"/>
      <c r="C268" s="204" t="s">
        <v>102</v>
      </c>
      <c r="D268" s="139" t="s">
        <v>36</v>
      </c>
      <c r="E268" s="263">
        <v>1</v>
      </c>
      <c r="F268" s="282">
        <f t="shared" si="40"/>
        <v>576</v>
      </c>
      <c r="G268" s="283">
        <f t="shared" si="41"/>
        <v>0</v>
      </c>
      <c r="H268" s="284">
        <f t="shared" si="36"/>
        <v>576</v>
      </c>
      <c r="I268" s="282">
        <f t="shared" si="37"/>
        <v>576</v>
      </c>
      <c r="J268" s="282">
        <f t="shared" si="38"/>
        <v>0</v>
      </c>
      <c r="K268" s="282">
        <f t="shared" si="39"/>
        <v>576</v>
      </c>
      <c r="L268" s="140"/>
      <c r="N268" s="132">
        <v>250</v>
      </c>
      <c r="O268" s="201"/>
    </row>
    <row r="269" spans="1:15" s="129" customFormat="1" ht="12.75" hidden="1" outlineLevel="1">
      <c r="A269" s="139" t="s">
        <v>234</v>
      </c>
      <c r="B269" s="139"/>
      <c r="C269" s="204" t="s">
        <v>103</v>
      </c>
      <c r="D269" s="139" t="s">
        <v>36</v>
      </c>
      <c r="E269" s="263">
        <v>1</v>
      </c>
      <c r="F269" s="282">
        <f t="shared" si="40"/>
        <v>320</v>
      </c>
      <c r="G269" s="283">
        <f t="shared" si="41"/>
        <v>0</v>
      </c>
      <c r="H269" s="284">
        <f t="shared" si="36"/>
        <v>320</v>
      </c>
      <c r="I269" s="282">
        <f t="shared" si="37"/>
        <v>320</v>
      </c>
      <c r="J269" s="282">
        <f t="shared" si="38"/>
        <v>0</v>
      </c>
      <c r="K269" s="282">
        <f t="shared" si="39"/>
        <v>320</v>
      </c>
      <c r="L269" s="140"/>
      <c r="N269" s="132">
        <v>200</v>
      </c>
      <c r="O269" s="201"/>
    </row>
    <row r="270" spans="1:15" s="129" customFormat="1" ht="12.75" hidden="1" outlineLevel="1">
      <c r="A270" s="139" t="s">
        <v>235</v>
      </c>
      <c r="B270" s="139"/>
      <c r="C270" s="204" t="s">
        <v>104</v>
      </c>
      <c r="D270" s="139" t="s">
        <v>36</v>
      </c>
      <c r="E270" s="263">
        <v>0</v>
      </c>
      <c r="F270" s="282">
        <f t="shared" si="40"/>
        <v>256</v>
      </c>
      <c r="G270" s="283">
        <f t="shared" si="41"/>
        <v>0</v>
      </c>
      <c r="H270" s="284">
        <f t="shared" si="36"/>
        <v>256</v>
      </c>
      <c r="I270" s="282">
        <f t="shared" si="37"/>
        <v>0</v>
      </c>
      <c r="J270" s="282">
        <f t="shared" si="38"/>
        <v>0</v>
      </c>
      <c r="K270" s="282">
        <f t="shared" si="39"/>
        <v>0</v>
      </c>
      <c r="L270" s="140"/>
      <c r="N270" s="132">
        <v>460</v>
      </c>
      <c r="O270" s="201"/>
    </row>
    <row r="271" spans="1:15" s="129" customFormat="1" ht="12.75" hidden="1" outlineLevel="1">
      <c r="A271" s="139" t="s">
        <v>236</v>
      </c>
      <c r="B271" s="139"/>
      <c r="C271" s="204" t="s">
        <v>39</v>
      </c>
      <c r="D271" s="139" t="s">
        <v>36</v>
      </c>
      <c r="E271" s="263">
        <v>1</v>
      </c>
      <c r="F271" s="282">
        <f t="shared" si="40"/>
        <v>588.8</v>
      </c>
      <c r="G271" s="283">
        <f t="shared" si="41"/>
        <v>0</v>
      </c>
      <c r="H271" s="284">
        <f t="shared" si="36"/>
        <v>588.8</v>
      </c>
      <c r="I271" s="282">
        <f t="shared" si="37"/>
        <v>588.8</v>
      </c>
      <c r="J271" s="282">
        <f t="shared" si="38"/>
        <v>0</v>
      </c>
      <c r="K271" s="282">
        <f t="shared" si="39"/>
        <v>588.8</v>
      </c>
      <c r="L271" s="140"/>
      <c r="N271" s="132">
        <v>150</v>
      </c>
      <c r="O271" s="201"/>
    </row>
    <row r="272" spans="1:15" s="129" customFormat="1" ht="12.75" hidden="1" outlineLevel="1">
      <c r="A272" s="139" t="s">
        <v>237</v>
      </c>
      <c r="B272" s="139"/>
      <c r="C272" s="204" t="s">
        <v>105</v>
      </c>
      <c r="D272" s="139" t="s">
        <v>36</v>
      </c>
      <c r="E272" s="263">
        <v>1</v>
      </c>
      <c r="F272" s="282">
        <f t="shared" si="40"/>
        <v>192</v>
      </c>
      <c r="G272" s="283">
        <f t="shared" si="41"/>
        <v>0</v>
      </c>
      <c r="H272" s="284">
        <f t="shared" si="36"/>
        <v>192</v>
      </c>
      <c r="I272" s="282">
        <f t="shared" si="37"/>
        <v>192</v>
      </c>
      <c r="J272" s="282">
        <f t="shared" si="38"/>
        <v>0</v>
      </c>
      <c r="K272" s="282">
        <f t="shared" si="39"/>
        <v>192</v>
      </c>
      <c r="L272" s="140"/>
      <c r="N272" s="132">
        <v>500</v>
      </c>
      <c r="O272" s="201"/>
    </row>
    <row r="273" spans="1:15" s="129" customFormat="1" ht="12.75" hidden="1" outlineLevel="1">
      <c r="A273" s="139" t="s">
        <v>238</v>
      </c>
      <c r="B273" s="139"/>
      <c r="C273" s="204" t="s">
        <v>106</v>
      </c>
      <c r="D273" s="139" t="s">
        <v>36</v>
      </c>
      <c r="E273" s="263">
        <v>0</v>
      </c>
      <c r="F273" s="282">
        <f t="shared" si="40"/>
        <v>640</v>
      </c>
      <c r="G273" s="283">
        <f t="shared" si="41"/>
        <v>0</v>
      </c>
      <c r="H273" s="284">
        <f t="shared" si="36"/>
        <v>640</v>
      </c>
      <c r="I273" s="282">
        <f t="shared" si="37"/>
        <v>0</v>
      </c>
      <c r="J273" s="282">
        <f t="shared" si="38"/>
        <v>0</v>
      </c>
      <c r="K273" s="282">
        <f t="shared" si="39"/>
        <v>0</v>
      </c>
      <c r="L273" s="140"/>
      <c r="N273" s="132">
        <v>400</v>
      </c>
      <c r="O273" s="201"/>
    </row>
    <row r="274" spans="1:15" s="129" customFormat="1" ht="12.75" hidden="1" outlineLevel="1">
      <c r="A274" s="139" t="s">
        <v>239</v>
      </c>
      <c r="B274" s="139"/>
      <c r="C274" s="204" t="s">
        <v>107</v>
      </c>
      <c r="D274" s="139" t="s">
        <v>36</v>
      </c>
      <c r="E274" s="263">
        <v>0</v>
      </c>
      <c r="F274" s="282">
        <f t="shared" si="40"/>
        <v>512</v>
      </c>
      <c r="G274" s="283">
        <f t="shared" si="41"/>
        <v>0</v>
      </c>
      <c r="H274" s="284">
        <f t="shared" si="36"/>
        <v>512</v>
      </c>
      <c r="I274" s="282">
        <f t="shared" si="37"/>
        <v>0</v>
      </c>
      <c r="J274" s="282">
        <f t="shared" si="38"/>
        <v>0</v>
      </c>
      <c r="K274" s="282">
        <f t="shared" si="39"/>
        <v>0</v>
      </c>
      <c r="L274" s="140"/>
      <c r="N274" s="132">
        <v>250</v>
      </c>
      <c r="O274" s="201"/>
    </row>
    <row r="275" spans="1:15" s="129" customFormat="1" ht="12.75" hidden="1" outlineLevel="1">
      <c r="A275" s="139" t="s">
        <v>240</v>
      </c>
      <c r="B275" s="139"/>
      <c r="C275" s="204" t="s">
        <v>108</v>
      </c>
      <c r="D275" s="139" t="s">
        <v>36</v>
      </c>
      <c r="E275" s="263">
        <v>1</v>
      </c>
      <c r="F275" s="282">
        <f t="shared" si="40"/>
        <v>320</v>
      </c>
      <c r="G275" s="283">
        <f t="shared" si="41"/>
        <v>0</v>
      </c>
      <c r="H275" s="284">
        <f t="shared" si="36"/>
        <v>320</v>
      </c>
      <c r="I275" s="282">
        <f t="shared" si="37"/>
        <v>320</v>
      </c>
      <c r="J275" s="282">
        <f t="shared" si="38"/>
        <v>0</v>
      </c>
      <c r="K275" s="282">
        <f t="shared" si="39"/>
        <v>320</v>
      </c>
      <c r="L275" s="140"/>
      <c r="N275" s="132">
        <v>300</v>
      </c>
      <c r="O275" s="201"/>
    </row>
    <row r="276" spans="1:15" s="235" customFormat="1" ht="12.75" hidden="1" outlineLevel="1">
      <c r="A276" s="139" t="s">
        <v>241</v>
      </c>
      <c r="B276" s="139"/>
      <c r="C276" s="204" t="s">
        <v>37</v>
      </c>
      <c r="D276" s="139" t="s">
        <v>38</v>
      </c>
      <c r="E276" s="263">
        <v>1</v>
      </c>
      <c r="F276" s="282">
        <f t="shared" si="40"/>
        <v>384</v>
      </c>
      <c r="G276" s="283">
        <f t="shared" si="41"/>
        <v>0</v>
      </c>
      <c r="H276" s="284">
        <f t="shared" si="36"/>
        <v>384</v>
      </c>
      <c r="I276" s="282">
        <f t="shared" si="37"/>
        <v>384</v>
      </c>
      <c r="J276" s="282">
        <f t="shared" si="38"/>
        <v>0</v>
      </c>
      <c r="K276" s="282">
        <f t="shared" si="39"/>
        <v>384</v>
      </c>
      <c r="L276" s="140"/>
      <c r="M276" s="129"/>
      <c r="N276" s="233"/>
      <c r="O276" s="233"/>
    </row>
    <row r="277" spans="1:15" s="129" customFormat="1" ht="12.75" hidden="1" outlineLevel="1">
      <c r="A277" s="236"/>
      <c r="B277" s="236"/>
      <c r="C277" s="232" t="s">
        <v>185</v>
      </c>
      <c r="D277" s="236"/>
      <c r="E277" s="261"/>
      <c r="F277" s="286"/>
      <c r="G277" s="286"/>
      <c r="H277" s="291"/>
      <c r="I277" s="286"/>
      <c r="J277" s="286"/>
      <c r="K277" s="286"/>
      <c r="L277" s="234">
        <f>SUM(K255:K276)</f>
        <v>9510.4</v>
      </c>
      <c r="M277" s="235"/>
      <c r="N277" s="132"/>
      <c r="O277" s="134"/>
    </row>
    <row r="278" spans="1:15" s="129" customFormat="1" ht="12.75" hidden="1" outlineLevel="1">
      <c r="A278" s="107" t="s">
        <v>242</v>
      </c>
      <c r="B278" s="107"/>
      <c r="C278" s="105" t="s">
        <v>40</v>
      </c>
      <c r="D278" s="139"/>
      <c r="E278" s="263"/>
      <c r="F278" s="282"/>
      <c r="G278" s="289"/>
      <c r="H278" s="284"/>
      <c r="I278" s="292"/>
      <c r="J278" s="292"/>
      <c r="K278" s="292"/>
      <c r="L278" s="140"/>
      <c r="N278" s="132">
        <f>(6*22)*6</f>
        <v>792</v>
      </c>
      <c r="O278" s="201"/>
    </row>
    <row r="279" spans="1:15" s="235" customFormat="1" ht="12.75" hidden="1" outlineLevel="1">
      <c r="A279" s="139" t="s">
        <v>243</v>
      </c>
      <c r="B279" s="139"/>
      <c r="C279" s="204" t="s">
        <v>25</v>
      </c>
      <c r="D279" s="139" t="s">
        <v>36</v>
      </c>
      <c r="E279" s="263">
        <v>3</v>
      </c>
      <c r="F279" s="282">
        <f>N278*$P$8</f>
        <v>1013.76</v>
      </c>
      <c r="G279" s="283">
        <f>O278*$P$8</f>
        <v>0</v>
      </c>
      <c r="H279" s="284">
        <f>G279+F279</f>
        <v>1013.76</v>
      </c>
      <c r="I279" s="282">
        <f>F279*E279</f>
        <v>3041.28</v>
      </c>
      <c r="J279" s="285">
        <f>G279*E279</f>
        <v>0</v>
      </c>
      <c r="K279" s="282">
        <f>I279+J279</f>
        <v>3041.28</v>
      </c>
      <c r="L279" s="140"/>
      <c r="M279" s="129"/>
      <c r="N279" s="233"/>
      <c r="O279" s="233"/>
    </row>
    <row r="280" spans="1:15" s="129" customFormat="1" ht="12.75" hidden="1" outlineLevel="1">
      <c r="A280" s="236"/>
      <c r="B280" s="236"/>
      <c r="C280" s="232" t="s">
        <v>185</v>
      </c>
      <c r="D280" s="236"/>
      <c r="E280" s="261"/>
      <c r="F280" s="286"/>
      <c r="G280" s="286"/>
      <c r="H280" s="291"/>
      <c r="I280" s="286"/>
      <c r="J280" s="286"/>
      <c r="K280" s="286"/>
      <c r="L280" s="234">
        <f>SUM(K279)</f>
        <v>3041.28</v>
      </c>
      <c r="M280" s="235"/>
      <c r="N280" s="132"/>
      <c r="O280" s="134"/>
    </row>
    <row r="281" spans="1:15" s="129" customFormat="1" ht="12.75" hidden="1" outlineLevel="1">
      <c r="A281" s="107" t="s">
        <v>244</v>
      </c>
      <c r="B281" s="107"/>
      <c r="C281" s="105" t="s">
        <v>109</v>
      </c>
      <c r="D281" s="139"/>
      <c r="E281" s="263"/>
      <c r="F281" s="282"/>
      <c r="G281" s="289"/>
      <c r="H281" s="284"/>
      <c r="I281" s="292"/>
      <c r="J281" s="292"/>
      <c r="K281" s="292"/>
      <c r="L281" s="140"/>
      <c r="N281" s="132">
        <v>750</v>
      </c>
      <c r="O281" s="201"/>
    </row>
    <row r="282" spans="1:15" s="129" customFormat="1" ht="12.75" hidden="1" outlineLevel="1">
      <c r="A282" s="139" t="s">
        <v>245</v>
      </c>
      <c r="B282" s="139"/>
      <c r="C282" s="204" t="s">
        <v>110</v>
      </c>
      <c r="D282" s="139" t="s">
        <v>34</v>
      </c>
      <c r="E282" s="263">
        <v>1</v>
      </c>
      <c r="F282" s="282">
        <f>N281*$P$8</f>
        <v>960</v>
      </c>
      <c r="G282" s="283">
        <f>O281*$P$8</f>
        <v>0</v>
      </c>
      <c r="H282" s="284">
        <f aca="true" t="shared" si="42" ref="H282:H289">G282+F282</f>
        <v>960</v>
      </c>
      <c r="I282" s="282">
        <f aca="true" t="shared" si="43" ref="I282:I289">F282*E282</f>
        <v>960</v>
      </c>
      <c r="J282" s="285">
        <f aca="true" t="shared" si="44" ref="J282:J289">G282*E282</f>
        <v>0</v>
      </c>
      <c r="K282" s="282">
        <f aca="true" t="shared" si="45" ref="K282:K289">I282+J282</f>
        <v>960</v>
      </c>
      <c r="L282" s="140"/>
      <c r="N282" s="132">
        <v>1200</v>
      </c>
      <c r="O282" s="201"/>
    </row>
    <row r="283" spans="1:15" s="129" customFormat="1" ht="12.75" hidden="1" outlineLevel="1">
      <c r="A283" s="139" t="s">
        <v>246</v>
      </c>
      <c r="B283" s="139"/>
      <c r="C283" s="204" t="s">
        <v>111</v>
      </c>
      <c r="D283" s="139" t="s">
        <v>34</v>
      </c>
      <c r="E283" s="263">
        <v>0</v>
      </c>
      <c r="F283" s="282">
        <f aca="true" t="shared" si="46" ref="F283:F289">N282*$P$8</f>
        <v>1536</v>
      </c>
      <c r="G283" s="283">
        <f aca="true" t="shared" si="47" ref="G283:G289">O282*$P$8</f>
        <v>0</v>
      </c>
      <c r="H283" s="284">
        <f t="shared" si="42"/>
        <v>1536</v>
      </c>
      <c r="I283" s="282">
        <f t="shared" si="43"/>
        <v>0</v>
      </c>
      <c r="J283" s="285">
        <f t="shared" si="44"/>
        <v>0</v>
      </c>
      <c r="K283" s="282">
        <f t="shared" si="45"/>
        <v>0</v>
      </c>
      <c r="L283" s="140"/>
      <c r="N283" s="132">
        <f>20500/8</f>
        <v>2562.5</v>
      </c>
      <c r="O283" s="201"/>
    </row>
    <row r="284" spans="1:15" s="129" customFormat="1" ht="12.75" hidden="1" outlineLevel="1">
      <c r="A284" s="139" t="s">
        <v>247</v>
      </c>
      <c r="B284" s="139"/>
      <c r="C284" s="204" t="s">
        <v>112</v>
      </c>
      <c r="D284" s="139" t="s">
        <v>34</v>
      </c>
      <c r="E284" s="263">
        <v>0</v>
      </c>
      <c r="F284" s="282">
        <f t="shared" si="46"/>
        <v>3280</v>
      </c>
      <c r="G284" s="283">
        <f t="shared" si="47"/>
        <v>0</v>
      </c>
      <c r="H284" s="284">
        <f t="shared" si="42"/>
        <v>3280</v>
      </c>
      <c r="I284" s="282">
        <f t="shared" si="43"/>
        <v>0</v>
      </c>
      <c r="J284" s="285">
        <f t="shared" si="44"/>
        <v>0</v>
      </c>
      <c r="K284" s="282">
        <f t="shared" si="45"/>
        <v>0</v>
      </c>
      <c r="L284" s="140"/>
      <c r="N284" s="132">
        <v>300</v>
      </c>
      <c r="O284" s="201"/>
    </row>
    <row r="285" spans="1:15" s="129" customFormat="1" ht="12.75" hidden="1" outlineLevel="1">
      <c r="A285" s="139" t="s">
        <v>248</v>
      </c>
      <c r="B285" s="139"/>
      <c r="C285" s="204" t="s">
        <v>113</v>
      </c>
      <c r="D285" s="139" t="s">
        <v>36</v>
      </c>
      <c r="E285" s="263">
        <v>0</v>
      </c>
      <c r="F285" s="282">
        <f t="shared" si="46"/>
        <v>384</v>
      </c>
      <c r="G285" s="283">
        <f t="shared" si="47"/>
        <v>0</v>
      </c>
      <c r="H285" s="284">
        <f t="shared" si="42"/>
        <v>384</v>
      </c>
      <c r="I285" s="282">
        <f t="shared" si="43"/>
        <v>0</v>
      </c>
      <c r="J285" s="285">
        <f t="shared" si="44"/>
        <v>0</v>
      </c>
      <c r="K285" s="282">
        <f t="shared" si="45"/>
        <v>0</v>
      </c>
      <c r="L285" s="140"/>
      <c r="N285" s="132">
        <v>5000</v>
      </c>
      <c r="O285" s="201"/>
    </row>
    <row r="286" spans="1:15" s="129" customFormat="1" ht="12.75" hidden="1" outlineLevel="1">
      <c r="A286" s="139" t="s">
        <v>249</v>
      </c>
      <c r="B286" s="139"/>
      <c r="C286" s="204" t="s">
        <v>114</v>
      </c>
      <c r="D286" s="139" t="s">
        <v>34</v>
      </c>
      <c r="E286" s="263">
        <v>0</v>
      </c>
      <c r="F286" s="282">
        <f t="shared" si="46"/>
        <v>6400</v>
      </c>
      <c r="G286" s="283">
        <f t="shared" si="47"/>
        <v>0</v>
      </c>
      <c r="H286" s="284">
        <f t="shared" si="42"/>
        <v>6400</v>
      </c>
      <c r="I286" s="282">
        <f t="shared" si="43"/>
        <v>0</v>
      </c>
      <c r="J286" s="285">
        <f t="shared" si="44"/>
        <v>0</v>
      </c>
      <c r="K286" s="282">
        <f t="shared" si="45"/>
        <v>0</v>
      </c>
      <c r="L286" s="140"/>
      <c r="N286" s="132">
        <f>44000/15</f>
        <v>2933.33</v>
      </c>
      <c r="O286" s="201"/>
    </row>
    <row r="287" spans="1:15" s="129" customFormat="1" ht="12.75" hidden="1" outlineLevel="1">
      <c r="A287" s="139" t="s">
        <v>250</v>
      </c>
      <c r="B287" s="139"/>
      <c r="C287" s="204" t="s">
        <v>115</v>
      </c>
      <c r="D287" s="139" t="s">
        <v>34</v>
      </c>
      <c r="E287" s="263">
        <v>0</v>
      </c>
      <c r="F287" s="282">
        <f t="shared" si="46"/>
        <v>3754.66</v>
      </c>
      <c r="G287" s="283">
        <f t="shared" si="47"/>
        <v>0</v>
      </c>
      <c r="H287" s="284">
        <f t="shared" si="42"/>
        <v>3754.66</v>
      </c>
      <c r="I287" s="282">
        <f t="shared" si="43"/>
        <v>0</v>
      </c>
      <c r="J287" s="285">
        <f t="shared" si="44"/>
        <v>0</v>
      </c>
      <c r="K287" s="282">
        <f t="shared" si="45"/>
        <v>0</v>
      </c>
      <c r="L287" s="140"/>
      <c r="N287" s="132">
        <v>5500</v>
      </c>
      <c r="O287" s="201"/>
    </row>
    <row r="288" spans="1:15" s="129" customFormat="1" ht="12.75" hidden="1" outlineLevel="1">
      <c r="A288" s="139" t="s">
        <v>251</v>
      </c>
      <c r="B288" s="139"/>
      <c r="C288" s="204" t="s">
        <v>116</v>
      </c>
      <c r="D288" s="139" t="s">
        <v>34</v>
      </c>
      <c r="E288" s="263">
        <v>0</v>
      </c>
      <c r="F288" s="282">
        <f t="shared" si="46"/>
        <v>7040</v>
      </c>
      <c r="G288" s="283">
        <f t="shared" si="47"/>
        <v>0</v>
      </c>
      <c r="H288" s="284">
        <f t="shared" si="42"/>
        <v>7040</v>
      </c>
      <c r="I288" s="282">
        <f t="shared" si="43"/>
        <v>0</v>
      </c>
      <c r="J288" s="285">
        <f t="shared" si="44"/>
        <v>0</v>
      </c>
      <c r="K288" s="282">
        <f t="shared" si="45"/>
        <v>0</v>
      </c>
      <c r="L288" s="140"/>
      <c r="N288" s="132">
        <v>120</v>
      </c>
      <c r="O288" s="201"/>
    </row>
    <row r="289" spans="1:15" s="235" customFormat="1" ht="12.75" hidden="1" outlineLevel="1">
      <c r="A289" s="139" t="s">
        <v>252</v>
      </c>
      <c r="B289" s="139"/>
      <c r="C289" s="204" t="s">
        <v>117</v>
      </c>
      <c r="D289" s="139" t="s">
        <v>36</v>
      </c>
      <c r="E289" s="263">
        <v>0</v>
      </c>
      <c r="F289" s="282">
        <f t="shared" si="46"/>
        <v>153.6</v>
      </c>
      <c r="G289" s="283">
        <f t="shared" si="47"/>
        <v>0</v>
      </c>
      <c r="H289" s="284">
        <f t="shared" si="42"/>
        <v>153.6</v>
      </c>
      <c r="I289" s="282">
        <f t="shared" si="43"/>
        <v>0</v>
      </c>
      <c r="J289" s="285">
        <f t="shared" si="44"/>
        <v>0</v>
      </c>
      <c r="K289" s="282">
        <f t="shared" si="45"/>
        <v>0</v>
      </c>
      <c r="L289" s="140"/>
      <c r="M289" s="129"/>
      <c r="N289" s="247"/>
      <c r="O289" s="247"/>
    </row>
    <row r="290" spans="1:15" s="129" customFormat="1" ht="12.75" hidden="1" outlineLevel="1">
      <c r="A290" s="236"/>
      <c r="B290" s="236"/>
      <c r="C290" s="232" t="s">
        <v>185</v>
      </c>
      <c r="D290" s="236"/>
      <c r="E290" s="261"/>
      <c r="F290" s="306"/>
      <c r="G290" s="306"/>
      <c r="H290" s="286"/>
      <c r="I290" s="286"/>
      <c r="J290" s="286"/>
      <c r="K290" s="286"/>
      <c r="L290" s="234">
        <f>SUM(K282:K289)</f>
        <v>960</v>
      </c>
      <c r="M290" s="235"/>
      <c r="N290" s="181"/>
      <c r="O290" s="181"/>
    </row>
    <row r="291" spans="1:15" s="129" customFormat="1" ht="12.75" hidden="1" outlineLevel="1">
      <c r="A291" s="179"/>
      <c r="B291" s="179"/>
      <c r="C291" s="180" t="s">
        <v>193</v>
      </c>
      <c r="D291" s="179"/>
      <c r="E291" s="260"/>
      <c r="F291" s="283"/>
      <c r="G291" s="283"/>
      <c r="H291" s="287"/>
      <c r="I291" s="288"/>
      <c r="J291" s="288"/>
      <c r="K291" s="283"/>
      <c r="L291" s="182"/>
      <c r="M291" s="248">
        <f>L291/3</f>
        <v>0</v>
      </c>
      <c r="N291" s="145"/>
      <c r="O291" s="146"/>
    </row>
    <row r="292" spans="1:14" s="129" customFormat="1" ht="12.75" collapsed="1">
      <c r="A292" s="147" t="s">
        <v>32</v>
      </c>
      <c r="B292" s="147"/>
      <c r="C292" s="148" t="s">
        <v>118</v>
      </c>
      <c r="D292" s="147"/>
      <c r="E292" s="269"/>
      <c r="F292" s="255"/>
      <c r="G292" s="255"/>
      <c r="H292" s="305"/>
      <c r="I292" s="255">
        <f>I227+I221+I194+I129+I41+I33+I14</f>
        <v>176035.4</v>
      </c>
      <c r="J292" s="255">
        <f>J227+J221+J194+J129+J41+J33+J14</f>
        <v>77586.5</v>
      </c>
      <c r="K292" s="307"/>
      <c r="L292" s="255">
        <f>L227+L221+L194+L129+L41+L33+L14</f>
        <v>253621.9</v>
      </c>
      <c r="M292" s="248">
        <f>SUM(M14:M227)</f>
        <v>311371.6</v>
      </c>
      <c r="N292" s="377"/>
    </row>
    <row r="293" spans="1:15" s="129" customFormat="1" ht="12.75">
      <c r="A293" s="147" t="s">
        <v>32</v>
      </c>
      <c r="B293" s="147"/>
      <c r="C293" s="135"/>
      <c r="D293" s="320"/>
      <c r="E293" s="270"/>
      <c r="F293" s="255"/>
      <c r="G293" s="255"/>
      <c r="H293" s="305"/>
      <c r="I293" s="255"/>
      <c r="J293" s="255"/>
      <c r="K293" s="255"/>
      <c r="L293" s="135">
        <f>D293*L292</f>
        <v>0</v>
      </c>
      <c r="O293" s="248"/>
    </row>
    <row r="294" spans="1:14" s="152" customFormat="1" ht="12.75">
      <c r="A294" s="147" t="s">
        <v>32</v>
      </c>
      <c r="B294" s="147"/>
      <c r="C294" s="135"/>
      <c r="D294" s="147"/>
      <c r="E294" s="270"/>
      <c r="F294" s="255"/>
      <c r="G294" s="255"/>
      <c r="H294" s="305"/>
      <c r="I294" s="255"/>
      <c r="J294" s="255"/>
      <c r="K294" s="255"/>
      <c r="L294" s="327">
        <f>SUM(L292:L293)</f>
        <v>253621.9</v>
      </c>
      <c r="M294" s="129"/>
      <c r="N294" s="374"/>
    </row>
    <row r="295" spans="1:14" s="129" customFormat="1" ht="15">
      <c r="A295" s="328"/>
      <c r="B295" s="328"/>
      <c r="D295" s="328"/>
      <c r="E295" s="273"/>
      <c r="F295" s="329"/>
      <c r="G295" s="329"/>
      <c r="H295" s="330"/>
      <c r="I295" s="329"/>
      <c r="J295" s="329"/>
      <c r="K295" s="331">
        <f>'BDI '!E24/100</f>
        <v>0.2277</v>
      </c>
      <c r="L295" s="327">
        <f>L294*K295</f>
        <v>57749.71</v>
      </c>
      <c r="M295" s="152"/>
      <c r="N295" s="248"/>
    </row>
    <row r="296" spans="1:15" s="152" customFormat="1" ht="20.25">
      <c r="A296" s="324"/>
      <c r="B296" s="325"/>
      <c r="C296" s="325"/>
      <c r="D296" s="325"/>
      <c r="E296" s="325"/>
      <c r="F296" s="325"/>
      <c r="G296" s="325"/>
      <c r="H296" s="325"/>
      <c r="I296" s="325"/>
      <c r="J296" s="325"/>
      <c r="K296" s="326"/>
      <c r="L296" s="332">
        <f>L295+L294</f>
        <v>311371.61</v>
      </c>
      <c r="M296" s="129"/>
      <c r="O296" s="374"/>
    </row>
    <row r="297" spans="1:12" s="152" customFormat="1" ht="12.75">
      <c r="A297" s="150"/>
      <c r="B297" s="150"/>
      <c r="C297" s="129"/>
      <c r="D297" s="150"/>
      <c r="E297" s="271"/>
      <c r="F297" s="308"/>
      <c r="G297" s="308"/>
      <c r="H297" s="309"/>
      <c r="I297" s="308"/>
      <c r="J297" s="308"/>
      <c r="K297" s="308">
        <f>E89+E25</f>
        <v>193.08</v>
      </c>
      <c r="L297" s="151"/>
    </row>
    <row r="298" spans="1:13" s="153" customFormat="1" ht="12.75">
      <c r="A298" s="150"/>
      <c r="B298" s="150"/>
      <c r="C298" s="151"/>
      <c r="D298" s="150"/>
      <c r="E298" s="271"/>
      <c r="F298" s="308"/>
      <c r="G298" s="308"/>
      <c r="H298" s="309"/>
      <c r="I298" s="308"/>
      <c r="J298" s="308"/>
      <c r="K298" s="308"/>
      <c r="L298" s="151"/>
      <c r="M298" s="152"/>
    </row>
    <row r="299" spans="1:12" s="153" customFormat="1" ht="12.75">
      <c r="A299" s="154"/>
      <c r="B299" s="154"/>
      <c r="D299" s="155"/>
      <c r="E299" s="272"/>
      <c r="F299" s="310"/>
      <c r="G299" s="310"/>
      <c r="H299" s="311"/>
      <c r="I299" s="310"/>
      <c r="J299" s="310"/>
      <c r="K299" s="310"/>
      <c r="L299" s="375"/>
    </row>
    <row r="300" spans="1:12" s="153" customFormat="1" ht="12.75">
      <c r="A300" s="155"/>
      <c r="B300" s="155"/>
      <c r="D300" s="155"/>
      <c r="E300" s="272"/>
      <c r="F300" s="310"/>
      <c r="G300" s="310"/>
      <c r="H300" s="311"/>
      <c r="I300" s="310"/>
      <c r="J300" s="310"/>
      <c r="K300" s="310"/>
      <c r="L300" s="376"/>
    </row>
    <row r="301" spans="1:12" s="153" customFormat="1" ht="12.75">
      <c r="A301" s="155"/>
      <c r="B301" s="155"/>
      <c r="D301" s="155"/>
      <c r="E301" s="272"/>
      <c r="F301" s="310"/>
      <c r="G301" s="310"/>
      <c r="H301" s="311"/>
      <c r="I301" s="310"/>
      <c r="J301" s="310"/>
      <c r="K301" s="378"/>
      <c r="L301" s="378"/>
    </row>
    <row r="302" spans="1:13" s="152" customFormat="1" ht="12.75">
      <c r="A302" s="155"/>
      <c r="B302" s="155"/>
      <c r="C302" s="153"/>
      <c r="D302" s="155"/>
      <c r="E302" s="272"/>
      <c r="F302" s="310"/>
      <c r="G302" s="310"/>
      <c r="H302" s="311"/>
      <c r="I302" s="310"/>
      <c r="J302" s="310"/>
      <c r="K302" s="378"/>
      <c r="L302" s="378"/>
      <c r="M302" s="153"/>
    </row>
    <row r="303" spans="1:11" s="152" customFormat="1" ht="12.75">
      <c r="A303" s="150"/>
      <c r="B303" s="150"/>
      <c r="C303" s="153"/>
      <c r="D303" s="150"/>
      <c r="E303" s="271"/>
      <c r="F303" s="308"/>
      <c r="G303" s="308"/>
      <c r="H303" s="309"/>
      <c r="I303" s="308"/>
      <c r="J303" s="308"/>
      <c r="K303" s="308"/>
    </row>
    <row r="304" spans="1:12" s="152" customFormat="1" ht="12.75">
      <c r="A304" s="150"/>
      <c r="B304" s="150"/>
      <c r="C304" s="153"/>
      <c r="D304" s="150"/>
      <c r="E304" s="271"/>
      <c r="F304" s="308"/>
      <c r="G304" s="308"/>
      <c r="H304" s="309"/>
      <c r="I304" s="308"/>
      <c r="J304" s="308"/>
      <c r="K304" s="308"/>
      <c r="L304" s="151"/>
    </row>
    <row r="305" spans="1:12" s="152" customFormat="1" ht="12.75">
      <c r="A305" s="150"/>
      <c r="B305" s="150"/>
      <c r="C305" s="151"/>
      <c r="D305" s="150"/>
      <c r="E305" s="271"/>
      <c r="F305" s="308"/>
      <c r="G305" s="308"/>
      <c r="H305" s="309"/>
      <c r="I305" s="308"/>
      <c r="J305" s="308"/>
      <c r="K305" s="308"/>
      <c r="L305" s="151"/>
    </row>
    <row r="306" spans="1:12" s="152" customFormat="1" ht="12.75">
      <c r="A306" s="150"/>
      <c r="B306" s="150"/>
      <c r="C306" s="151"/>
      <c r="D306" s="150"/>
      <c r="E306" s="271"/>
      <c r="F306" s="308"/>
      <c r="G306" s="308"/>
      <c r="H306" s="309"/>
      <c r="I306" s="308"/>
      <c r="J306" s="308"/>
      <c r="K306" s="308"/>
      <c r="L306" s="250"/>
    </row>
    <row r="307" spans="1:12" s="152" customFormat="1" ht="12.75">
      <c r="A307" s="150"/>
      <c r="B307" s="150"/>
      <c r="C307" s="151"/>
      <c r="D307" s="150"/>
      <c r="E307" s="271"/>
      <c r="F307" s="308"/>
      <c r="G307" s="308"/>
      <c r="H307" s="309"/>
      <c r="I307" s="308"/>
      <c r="J307" s="308"/>
      <c r="K307" s="308"/>
      <c r="L307" s="250"/>
    </row>
    <row r="308" spans="1:12" s="152" customFormat="1" ht="12.75">
      <c r="A308" s="150"/>
      <c r="B308" s="150"/>
      <c r="C308" s="151"/>
      <c r="D308" s="150"/>
      <c r="E308" s="271"/>
      <c r="F308" s="308"/>
      <c r="G308" s="308"/>
      <c r="H308" s="309"/>
      <c r="I308" s="308"/>
      <c r="J308" s="308"/>
      <c r="K308" s="308"/>
      <c r="L308" s="250"/>
    </row>
    <row r="309" spans="1:12" s="152" customFormat="1" ht="12.75">
      <c r="A309" s="150"/>
      <c r="B309" s="150"/>
      <c r="C309" s="151"/>
      <c r="D309" s="150"/>
      <c r="E309" s="271"/>
      <c r="F309" s="308"/>
      <c r="G309" s="308"/>
      <c r="H309" s="309"/>
      <c r="I309" s="308"/>
      <c r="J309" s="308"/>
      <c r="K309" s="308"/>
      <c r="L309" s="151"/>
    </row>
    <row r="310" spans="1:12" s="152" customFormat="1" ht="12.75">
      <c r="A310" s="150"/>
      <c r="B310" s="150"/>
      <c r="C310" s="151"/>
      <c r="D310" s="150"/>
      <c r="E310" s="271"/>
      <c r="F310" s="308"/>
      <c r="G310" s="308"/>
      <c r="H310" s="309"/>
      <c r="I310" s="308"/>
      <c r="J310" s="308"/>
      <c r="K310" s="308"/>
      <c r="L310" s="151"/>
    </row>
    <row r="311" spans="1:12" s="152" customFormat="1" ht="12.75">
      <c r="A311" s="150"/>
      <c r="B311" s="150"/>
      <c r="C311" s="151"/>
      <c r="D311" s="150"/>
      <c r="E311" s="271"/>
      <c r="F311" s="308"/>
      <c r="G311" s="308"/>
      <c r="H311" s="309"/>
      <c r="I311" s="308"/>
      <c r="J311" s="308"/>
      <c r="K311" s="308"/>
      <c r="L311" s="151"/>
    </row>
    <row r="312" spans="1:12" s="152" customFormat="1" ht="12.75">
      <c r="A312" s="150"/>
      <c r="B312" s="150"/>
      <c r="C312" s="151"/>
      <c r="D312" s="150"/>
      <c r="E312" s="271"/>
      <c r="F312" s="308"/>
      <c r="G312" s="308"/>
      <c r="H312" s="309"/>
      <c r="I312" s="308"/>
      <c r="J312" s="308"/>
      <c r="K312" s="308"/>
      <c r="L312" s="151"/>
    </row>
    <row r="313" spans="1:12" s="152" customFormat="1" ht="12.75">
      <c r="A313" s="150"/>
      <c r="B313" s="150"/>
      <c r="C313" s="151"/>
      <c r="D313" s="150"/>
      <c r="E313" s="271"/>
      <c r="F313" s="308"/>
      <c r="G313" s="308"/>
      <c r="H313" s="309"/>
      <c r="I313" s="308"/>
      <c r="J313" s="308"/>
      <c r="K313" s="308"/>
      <c r="L313" s="151"/>
    </row>
    <row r="314" spans="1:12" s="152" customFormat="1" ht="12.75">
      <c r="A314" s="150"/>
      <c r="B314" s="150"/>
      <c r="C314" s="151"/>
      <c r="D314" s="150"/>
      <c r="E314" s="271"/>
      <c r="F314" s="308"/>
      <c r="G314" s="308"/>
      <c r="H314" s="309"/>
      <c r="I314" s="308"/>
      <c r="J314" s="308"/>
      <c r="K314" s="308"/>
      <c r="L314" s="151"/>
    </row>
    <row r="315" spans="1:12" s="152" customFormat="1" ht="12.75">
      <c r="A315" s="150"/>
      <c r="B315" s="150"/>
      <c r="C315" s="151"/>
      <c r="D315" s="150"/>
      <c r="E315" s="271"/>
      <c r="F315" s="308"/>
      <c r="G315" s="308"/>
      <c r="H315" s="309"/>
      <c r="I315" s="308"/>
      <c r="J315" s="308"/>
      <c r="K315" s="308"/>
      <c r="L315" s="151"/>
    </row>
    <row r="316" spans="1:12" s="152" customFormat="1" ht="25.5">
      <c r="A316" s="150"/>
      <c r="B316" s="150"/>
      <c r="C316" s="151"/>
      <c r="D316" s="150"/>
      <c r="E316" s="273" t="s">
        <v>255</v>
      </c>
      <c r="F316" s="308"/>
      <c r="G316" s="308"/>
      <c r="H316" s="309"/>
      <c r="I316" s="308"/>
      <c r="J316" s="308"/>
      <c r="K316" s="308"/>
      <c r="L316" s="151"/>
    </row>
    <row r="317" spans="1:12" s="152" customFormat="1" ht="25.5">
      <c r="A317" s="150"/>
      <c r="B317" s="150"/>
      <c r="C317" s="151"/>
      <c r="D317" s="150"/>
      <c r="E317" s="273" t="s">
        <v>254</v>
      </c>
      <c r="F317" s="308"/>
      <c r="G317" s="308"/>
      <c r="H317" s="309"/>
      <c r="I317" s="308"/>
      <c r="J317" s="308"/>
      <c r="K317" s="329"/>
      <c r="L317" s="151"/>
    </row>
    <row r="318" spans="1:12" s="152" customFormat="1" ht="12.75">
      <c r="A318" s="150"/>
      <c r="B318" s="150"/>
      <c r="C318" s="151"/>
      <c r="D318" s="150"/>
      <c r="E318" s="271"/>
      <c r="F318" s="308"/>
      <c r="G318" s="308"/>
      <c r="H318" s="309"/>
      <c r="I318" s="308"/>
      <c r="J318" s="308"/>
      <c r="K318" s="308"/>
      <c r="L318" s="151"/>
    </row>
    <row r="319" spans="1:12" s="152" customFormat="1" ht="12.75">
      <c r="A319" s="150"/>
      <c r="B319" s="150"/>
      <c r="C319" s="151"/>
      <c r="D319" s="150"/>
      <c r="E319" s="271"/>
      <c r="F319" s="308"/>
      <c r="G319" s="308"/>
      <c r="H319" s="309"/>
      <c r="I319" s="308"/>
      <c r="J319" s="308"/>
      <c r="K319" s="308"/>
      <c r="L319" s="151"/>
    </row>
    <row r="320" spans="1:12" s="152" customFormat="1" ht="12.75">
      <c r="A320" s="150"/>
      <c r="B320" s="150"/>
      <c r="C320" s="151"/>
      <c r="D320" s="150"/>
      <c r="E320" s="271"/>
      <c r="F320" s="308"/>
      <c r="G320" s="308"/>
      <c r="H320" s="309"/>
      <c r="I320" s="308"/>
      <c r="J320" s="308"/>
      <c r="K320" s="308"/>
      <c r="L320" s="151"/>
    </row>
    <row r="321" spans="1:12" s="152" customFormat="1" ht="12.75">
      <c r="A321" s="150"/>
      <c r="B321" s="150"/>
      <c r="C321" s="151"/>
      <c r="D321" s="150"/>
      <c r="E321" s="271"/>
      <c r="F321" s="308"/>
      <c r="G321" s="308"/>
      <c r="H321" s="309"/>
      <c r="I321" s="308"/>
      <c r="J321" s="308"/>
      <c r="K321" s="308"/>
      <c r="L321" s="151"/>
    </row>
    <row r="322" spans="1:12" s="152" customFormat="1" ht="12.75">
      <c r="A322" s="150"/>
      <c r="B322" s="150"/>
      <c r="C322" s="151"/>
      <c r="D322" s="150"/>
      <c r="E322" s="271"/>
      <c r="F322" s="308"/>
      <c r="G322" s="308"/>
      <c r="H322" s="309"/>
      <c r="I322" s="308"/>
      <c r="J322" s="308"/>
      <c r="K322" s="308"/>
      <c r="L322" s="151"/>
    </row>
    <row r="323" spans="1:12" s="152" customFormat="1" ht="12.75">
      <c r="A323" s="150"/>
      <c r="B323" s="150"/>
      <c r="C323" s="151"/>
      <c r="D323" s="150"/>
      <c r="E323" s="271"/>
      <c r="F323" s="308"/>
      <c r="G323" s="308"/>
      <c r="H323" s="309"/>
      <c r="I323" s="308"/>
      <c r="J323" s="308"/>
      <c r="K323" s="308"/>
      <c r="L323" s="151"/>
    </row>
    <row r="324" spans="1:12" s="152" customFormat="1" ht="12.75">
      <c r="A324" s="150"/>
      <c r="B324" s="150"/>
      <c r="C324" s="151"/>
      <c r="D324" s="150"/>
      <c r="E324" s="271"/>
      <c r="F324" s="308"/>
      <c r="G324" s="308"/>
      <c r="H324" s="309"/>
      <c r="I324" s="308"/>
      <c r="J324" s="308"/>
      <c r="K324" s="308"/>
      <c r="L324" s="151"/>
    </row>
    <row r="325" spans="1:12" s="152" customFormat="1" ht="12.75">
      <c r="A325" s="150"/>
      <c r="B325" s="150"/>
      <c r="C325" s="151"/>
      <c r="D325" s="150"/>
      <c r="E325" s="271"/>
      <c r="F325" s="308"/>
      <c r="G325" s="308"/>
      <c r="H325" s="309"/>
      <c r="I325" s="308"/>
      <c r="J325" s="308"/>
      <c r="K325" s="308"/>
      <c r="L325" s="151"/>
    </row>
    <row r="326" spans="1:12" s="152" customFormat="1" ht="12.75">
      <c r="A326" s="150"/>
      <c r="B326" s="150"/>
      <c r="C326" s="151"/>
      <c r="D326" s="150"/>
      <c r="E326" s="271"/>
      <c r="F326" s="308"/>
      <c r="G326" s="308"/>
      <c r="H326" s="309"/>
      <c r="I326" s="308"/>
      <c r="J326" s="308"/>
      <c r="K326" s="308"/>
      <c r="L326" s="151"/>
    </row>
    <row r="327" spans="1:12" s="152" customFormat="1" ht="12.75">
      <c r="A327" s="150"/>
      <c r="B327" s="150"/>
      <c r="C327" s="151"/>
      <c r="D327" s="150"/>
      <c r="E327" s="271"/>
      <c r="F327" s="308"/>
      <c r="G327" s="308"/>
      <c r="H327" s="309"/>
      <c r="I327" s="308"/>
      <c r="J327" s="308"/>
      <c r="K327" s="308"/>
      <c r="L327" s="151"/>
    </row>
    <row r="328" spans="1:12" s="152" customFormat="1" ht="12.75">
      <c r="A328" s="150"/>
      <c r="B328" s="150"/>
      <c r="C328" s="151"/>
      <c r="D328" s="150"/>
      <c r="E328" s="271"/>
      <c r="F328" s="308"/>
      <c r="G328" s="308"/>
      <c r="H328" s="309"/>
      <c r="I328" s="308"/>
      <c r="J328" s="308"/>
      <c r="K328" s="308"/>
      <c r="L328" s="151"/>
    </row>
    <row r="329" spans="1:12" s="152" customFormat="1" ht="12.75">
      <c r="A329" s="150"/>
      <c r="B329" s="150"/>
      <c r="C329" s="151"/>
      <c r="D329" s="150"/>
      <c r="E329" s="271"/>
      <c r="F329" s="308"/>
      <c r="G329" s="308"/>
      <c r="H329" s="309"/>
      <c r="I329" s="308"/>
      <c r="J329" s="308"/>
      <c r="K329" s="308"/>
      <c r="L329" s="151"/>
    </row>
    <row r="330" spans="1:12" s="152" customFormat="1" ht="12.75">
      <c r="A330" s="150"/>
      <c r="B330" s="150"/>
      <c r="C330" s="151"/>
      <c r="D330" s="150"/>
      <c r="E330" s="271"/>
      <c r="F330" s="308"/>
      <c r="G330" s="308"/>
      <c r="H330" s="309"/>
      <c r="I330" s="308"/>
      <c r="J330" s="308"/>
      <c r="K330" s="308"/>
      <c r="L330" s="151"/>
    </row>
    <row r="331" spans="1:12" s="152" customFormat="1" ht="12.75">
      <c r="A331" s="150"/>
      <c r="B331" s="150"/>
      <c r="C331" s="151"/>
      <c r="D331" s="150"/>
      <c r="E331" s="271"/>
      <c r="F331" s="308"/>
      <c r="G331" s="308"/>
      <c r="H331" s="309"/>
      <c r="I331" s="308"/>
      <c r="J331" s="308"/>
      <c r="K331" s="308"/>
      <c r="L331" s="151"/>
    </row>
    <row r="332" spans="1:12" s="152" customFormat="1" ht="12.75">
      <c r="A332" s="150"/>
      <c r="B332" s="150"/>
      <c r="C332" s="151"/>
      <c r="D332" s="150"/>
      <c r="E332" s="271"/>
      <c r="F332" s="308"/>
      <c r="G332" s="308"/>
      <c r="H332" s="309"/>
      <c r="I332" s="308"/>
      <c r="J332" s="308"/>
      <c r="K332" s="308"/>
      <c r="L332" s="151"/>
    </row>
    <row r="333" spans="1:12" s="152" customFormat="1" ht="12.75">
      <c r="A333" s="150"/>
      <c r="B333" s="150"/>
      <c r="C333" s="151"/>
      <c r="D333" s="150"/>
      <c r="E333" s="271"/>
      <c r="F333" s="308"/>
      <c r="G333" s="308"/>
      <c r="H333" s="309"/>
      <c r="I333" s="308"/>
      <c r="J333" s="308"/>
      <c r="K333" s="308"/>
      <c r="L333" s="151"/>
    </row>
    <row r="334" spans="1:13" ht="12.75">
      <c r="A334" s="150"/>
      <c r="B334" s="150"/>
      <c r="C334" s="151"/>
      <c r="D334" s="150"/>
      <c r="E334" s="271"/>
      <c r="F334" s="308"/>
      <c r="G334" s="308"/>
      <c r="H334" s="309"/>
      <c r="I334" s="308"/>
      <c r="J334" s="308"/>
      <c r="K334" s="308"/>
      <c r="L334" s="151"/>
      <c r="M334" s="152"/>
    </row>
    <row r="335" spans="1:12" ht="12.75">
      <c r="A335" s="102"/>
      <c r="B335" s="102"/>
      <c r="C335" s="3"/>
      <c r="D335" s="321"/>
      <c r="E335" s="274"/>
      <c r="F335" s="312"/>
      <c r="G335" s="312"/>
      <c r="H335" s="313"/>
      <c r="I335" s="312"/>
      <c r="J335" s="312"/>
      <c r="K335" s="312"/>
      <c r="L335" s="3"/>
    </row>
    <row r="336" spans="1:12" ht="12.75">
      <c r="A336" s="102"/>
      <c r="B336" s="102"/>
      <c r="C336" s="3"/>
      <c r="D336" s="321"/>
      <c r="E336" s="274"/>
      <c r="F336" s="312"/>
      <c r="G336" s="312"/>
      <c r="H336" s="313"/>
      <c r="I336" s="312"/>
      <c r="J336" s="312"/>
      <c r="K336" s="312"/>
      <c r="L336" s="3"/>
    </row>
    <row r="337" spans="1:12" ht="12.75">
      <c r="A337" s="102"/>
      <c r="B337" s="102"/>
      <c r="C337" s="3"/>
      <c r="D337" s="321"/>
      <c r="E337" s="274"/>
      <c r="F337" s="312"/>
      <c r="G337" s="312"/>
      <c r="H337" s="313"/>
      <c r="I337" s="312"/>
      <c r="J337" s="312"/>
      <c r="K337" s="312"/>
      <c r="L337" s="3"/>
    </row>
    <row r="338" spans="1:12" ht="12.75">
      <c r="A338" s="102"/>
      <c r="B338" s="102"/>
      <c r="C338" s="3"/>
      <c r="D338" s="321"/>
      <c r="E338" s="274"/>
      <c r="F338" s="312"/>
      <c r="G338" s="312"/>
      <c r="H338" s="313"/>
      <c r="I338" s="312"/>
      <c r="J338" s="312"/>
      <c r="K338" s="312"/>
      <c r="L338" s="3"/>
    </row>
    <row r="339" spans="1:12" ht="12.75">
      <c r="A339" s="102"/>
      <c r="B339" s="102"/>
      <c r="C339" s="3"/>
      <c r="D339" s="321"/>
      <c r="E339" s="274"/>
      <c r="F339" s="312"/>
      <c r="G339" s="312"/>
      <c r="H339" s="313"/>
      <c r="I339" s="312"/>
      <c r="J339" s="312"/>
      <c r="K339" s="312"/>
      <c r="L339" s="3"/>
    </row>
    <row r="340" spans="1:12" ht="12.75">
      <c r="A340" s="102"/>
      <c r="B340" s="102"/>
      <c r="C340" s="3"/>
      <c r="D340" s="321"/>
      <c r="E340" s="274"/>
      <c r="F340" s="312"/>
      <c r="G340" s="312"/>
      <c r="H340" s="313"/>
      <c r="I340" s="312"/>
      <c r="J340" s="312"/>
      <c r="K340" s="312"/>
      <c r="L340" s="3"/>
    </row>
    <row r="341" spans="1:12" ht="12.75">
      <c r="A341" s="102"/>
      <c r="B341" s="102"/>
      <c r="C341" s="3"/>
      <c r="D341" s="321"/>
      <c r="E341" s="274"/>
      <c r="F341" s="312"/>
      <c r="G341" s="312"/>
      <c r="H341" s="313"/>
      <c r="I341" s="312"/>
      <c r="J341" s="312"/>
      <c r="K341" s="312"/>
      <c r="L341" s="3"/>
    </row>
    <row r="342" spans="1:12" ht="12.75">
      <c r="A342" s="102"/>
      <c r="B342" s="102"/>
      <c r="C342" s="3"/>
      <c r="D342" s="321"/>
      <c r="E342" s="274"/>
      <c r="F342" s="312"/>
      <c r="G342" s="312"/>
      <c r="H342" s="313"/>
      <c r="I342" s="312"/>
      <c r="J342" s="312"/>
      <c r="K342" s="312"/>
      <c r="L342" s="3"/>
    </row>
    <row r="343" spans="1:12" ht="12.75">
      <c r="A343" s="102"/>
      <c r="B343" s="102"/>
      <c r="C343" s="3"/>
      <c r="D343" s="321"/>
      <c r="E343" s="274"/>
      <c r="F343" s="312"/>
      <c r="G343" s="312"/>
      <c r="H343" s="313"/>
      <c r="I343" s="312"/>
      <c r="J343" s="312"/>
      <c r="K343" s="312"/>
      <c r="L343" s="3"/>
    </row>
    <row r="344" spans="1:12" ht="12.75">
      <c r="A344" s="102"/>
      <c r="B344" s="102"/>
      <c r="C344" s="3"/>
      <c r="D344" s="321"/>
      <c r="E344" s="274"/>
      <c r="F344" s="312"/>
      <c r="G344" s="312"/>
      <c r="H344" s="313"/>
      <c r="I344" s="312"/>
      <c r="J344" s="312"/>
      <c r="K344" s="312"/>
      <c r="L344" s="3"/>
    </row>
  </sheetData>
  <sheetProtection/>
  <mergeCells count="9">
    <mergeCell ref="C196:D196"/>
    <mergeCell ref="E2:F2"/>
    <mergeCell ref="A6:L6"/>
    <mergeCell ref="A5:L5"/>
    <mergeCell ref="A7:L7"/>
    <mergeCell ref="A8:E8"/>
    <mergeCell ref="F8:H8"/>
    <mergeCell ref="E4:G4"/>
    <mergeCell ref="I8:K8"/>
  </mergeCells>
  <printOptions horizontalCentered="1"/>
  <pageMargins left="0.2362204724409449" right="0" top="0.2362204724409449" bottom="0.3937007874015748" header="0.1968503937007874" footer="0.2362204724409449"/>
  <pageSetup horizontalDpi="300" verticalDpi="300" orientation="landscape" paperSize="9" scale="50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87"/>
  <sheetViews>
    <sheetView showGridLines="0" view="pageBreakPreview" zoomScale="80" zoomScaleNormal="80" zoomScaleSheetLayoutView="80" zoomScalePageLayoutView="0" workbookViewId="0" topLeftCell="A5">
      <selection activeCell="C23" sqref="C23"/>
    </sheetView>
  </sheetViews>
  <sheetFormatPr defaultColWidth="9.140625" defaultRowHeight="12.75"/>
  <cols>
    <col min="1" max="1" width="11.7109375" style="0" customWidth="1"/>
    <col min="2" max="2" width="59.140625" style="0" customWidth="1"/>
    <col min="3" max="3" width="17.140625" style="0" customWidth="1"/>
    <col min="4" max="4" width="12.7109375" style="0" customWidth="1"/>
    <col min="5" max="5" width="10.57421875" style="0" bestFit="1" customWidth="1"/>
    <col min="8" max="8" width="12.28125" style="0" bestFit="1" customWidth="1"/>
  </cols>
  <sheetData>
    <row r="3" spans="1:4" ht="27.75">
      <c r="A3" s="185"/>
      <c r="B3" s="2"/>
      <c r="C3" s="184"/>
      <c r="D3" s="2"/>
    </row>
    <row r="4" spans="1:4" ht="27.75">
      <c r="A4" s="185"/>
      <c r="B4" s="2"/>
      <c r="C4" s="184" t="s">
        <v>9</v>
      </c>
      <c r="D4" s="2"/>
    </row>
    <row r="5" spans="1:4" ht="27.75">
      <c r="A5" s="185"/>
      <c r="B5" s="2"/>
      <c r="C5" s="184"/>
      <c r="D5" s="2"/>
    </row>
    <row r="6" spans="1:4" ht="18.75" customHeight="1">
      <c r="A6" s="185"/>
      <c r="B6" s="115" t="s">
        <v>261</v>
      </c>
      <c r="C6" s="184"/>
      <c r="D6" s="2"/>
    </row>
    <row r="7" spans="1:4" ht="14.25" customHeight="1">
      <c r="A7" s="185"/>
      <c r="B7" s="115" t="s">
        <v>262</v>
      </c>
      <c r="C7" s="184"/>
      <c r="D7" s="2"/>
    </row>
    <row r="8" spans="1:4" ht="12.75" customHeight="1">
      <c r="A8" s="186"/>
      <c r="B8" s="115" t="s">
        <v>263</v>
      </c>
      <c r="C8" s="81"/>
      <c r="D8" s="2"/>
    </row>
    <row r="9" spans="1:4" ht="12.75" customHeight="1" thickBot="1">
      <c r="A9" s="82"/>
      <c r="B9" s="82"/>
      <c r="C9" s="83"/>
      <c r="D9" s="97"/>
    </row>
    <row r="10" spans="1:4" ht="30.75" customHeight="1">
      <c r="A10" s="456"/>
      <c r="B10" s="457"/>
      <c r="C10" s="457"/>
      <c r="D10" s="458"/>
    </row>
    <row r="11" spans="1:6" ht="39" customHeight="1">
      <c r="A11" s="459"/>
      <c r="B11" s="460"/>
      <c r="C11" s="460"/>
      <c r="D11" s="461"/>
      <c r="F11" s="220"/>
    </row>
    <row r="12" spans="1:4" ht="20.25" customHeight="1" thickBot="1">
      <c r="A12" s="84" t="str">
        <f>PLANILHA!A8</f>
        <v>OBJETO: REFORMA DA PISCINA (BANHEIROS E ESCADA)</v>
      </c>
      <c r="B12" s="85"/>
      <c r="C12" s="109"/>
      <c r="D12" s="86"/>
    </row>
    <row r="13" spans="1:4" ht="34.5" customHeight="1">
      <c r="A13" s="90" t="s">
        <v>10</v>
      </c>
      <c r="B13" s="91" t="s">
        <v>11</v>
      </c>
      <c r="C13" s="219" t="s">
        <v>12</v>
      </c>
      <c r="D13" s="92" t="s">
        <v>22</v>
      </c>
    </row>
    <row r="14" spans="1:5" ht="27" customHeight="1">
      <c r="A14" s="93" t="s">
        <v>119</v>
      </c>
      <c r="B14" s="87" t="str">
        <f>PLANILHA!C10</f>
        <v>SERVIÇOS TECNICOS-PROFISSIONAIS</v>
      </c>
      <c r="C14" s="88">
        <f>PLANILHA!L14</f>
        <v>233.94</v>
      </c>
      <c r="D14" s="183">
        <f>C14/$C$21</f>
        <v>0.0009</v>
      </c>
      <c r="E14" s="199"/>
    </row>
    <row r="15" spans="1:4" ht="27" customHeight="1">
      <c r="A15" s="93" t="s">
        <v>122</v>
      </c>
      <c r="B15" s="87" t="str">
        <f>PLANILHA!C16</f>
        <v>SERVIÇOS PRELIMINARES</v>
      </c>
      <c r="C15" s="88">
        <f>PLANILHA!L33</f>
        <v>16939.17</v>
      </c>
      <c r="D15" s="183">
        <f aca="true" t="shared" si="0" ref="D15:D21">C15/$C$21</f>
        <v>0.0668</v>
      </c>
    </row>
    <row r="16" spans="1:4" ht="27" customHeight="1">
      <c r="A16" s="93" t="s">
        <v>127</v>
      </c>
      <c r="B16" s="87" t="str">
        <f>PLANILHA!C34</f>
        <v>ESTRUTURAS</v>
      </c>
      <c r="C16" s="88">
        <f>PLANILHA!L41</f>
        <v>21362.54</v>
      </c>
      <c r="D16" s="183">
        <f t="shared" si="0"/>
        <v>0.0842</v>
      </c>
    </row>
    <row r="17" spans="1:4" ht="27" customHeight="1">
      <c r="A17" s="93" t="s">
        <v>128</v>
      </c>
      <c r="B17" s="87" t="str">
        <f>PLANILHA!C43</f>
        <v>ARQUITETURA E ELEMENTOS DE URBANISMO</v>
      </c>
      <c r="C17" s="88">
        <f>PLANILHA!L129</f>
        <v>189127.25</v>
      </c>
      <c r="D17" s="183">
        <f t="shared" si="0"/>
        <v>0.7457</v>
      </c>
    </row>
    <row r="18" spans="1:4" ht="27" customHeight="1">
      <c r="A18" s="93" t="s">
        <v>17</v>
      </c>
      <c r="B18" s="87" t="str">
        <f>PLANILHA!C130</f>
        <v>INSTALAÇÕES HIDRÁULICAS E SANITÁRIAS</v>
      </c>
      <c r="C18" s="88">
        <f>PLANILHA!L194</f>
        <v>15606.06</v>
      </c>
      <c r="D18" s="183">
        <f t="shared" si="0"/>
        <v>0.0615</v>
      </c>
    </row>
    <row r="19" spans="1:4" ht="27" customHeight="1">
      <c r="A19" s="93" t="s">
        <v>18</v>
      </c>
      <c r="B19" s="87" t="str">
        <f>PLANILHA!C195</f>
        <v>INSTALAÇÕES ELÉTRICAS E ELETRÔNICAS</v>
      </c>
      <c r="C19" s="88">
        <f>PLANILHA!L221</f>
        <v>9859.78</v>
      </c>
      <c r="D19" s="183">
        <f t="shared" si="0"/>
        <v>0.0389</v>
      </c>
    </row>
    <row r="20" spans="1:4" ht="27" customHeight="1">
      <c r="A20" s="93" t="s">
        <v>19</v>
      </c>
      <c r="B20" s="87" t="str">
        <f>PLANILHA!C223</f>
        <v>SERVIÇOS COMPLEMENTARES</v>
      </c>
      <c r="C20" s="88">
        <f>PLANILHA!L227</f>
        <v>493.16</v>
      </c>
      <c r="D20" s="183">
        <f t="shared" si="0"/>
        <v>0.0019</v>
      </c>
    </row>
    <row r="21" spans="1:4" ht="18.75" customHeight="1">
      <c r="A21" s="462" t="s">
        <v>13</v>
      </c>
      <c r="B21" s="463"/>
      <c r="C21" s="89">
        <f>SUM(C14:C20)</f>
        <v>253621.9</v>
      </c>
      <c r="D21" s="183">
        <f t="shared" si="0"/>
        <v>1</v>
      </c>
    </row>
    <row r="22" spans="1:4" ht="15">
      <c r="A22" s="462" t="s">
        <v>21</v>
      </c>
      <c r="B22" s="463"/>
      <c r="C22" s="89">
        <f>C21*PLANILHA!K295</f>
        <v>57749.71</v>
      </c>
      <c r="D22" s="94" t="s">
        <v>253</v>
      </c>
    </row>
    <row r="23" spans="1:4" ht="15.75" thickBot="1">
      <c r="A23" s="464" t="s">
        <v>23</v>
      </c>
      <c r="B23" s="465"/>
      <c r="C23" s="95">
        <f>SUM(C21:C22)</f>
        <v>311371.61</v>
      </c>
      <c r="D23" s="96">
        <f>C23/PLANILHA!K297</f>
        <v>1612.66</v>
      </c>
    </row>
    <row r="24" spans="1:4" ht="12.75">
      <c r="A24" s="4"/>
      <c r="B24" s="5"/>
      <c r="C24" s="6"/>
      <c r="D24" s="7"/>
    </row>
    <row r="25" spans="1:4" ht="12.75">
      <c r="A25" s="4"/>
      <c r="B25" s="5"/>
      <c r="C25" s="6"/>
      <c r="D25" s="7"/>
    </row>
    <row r="26" spans="1:4" ht="12.75">
      <c r="A26" s="4"/>
      <c r="B26" s="5"/>
      <c r="C26" s="6"/>
      <c r="D26" s="7"/>
    </row>
    <row r="27" spans="1:4" ht="12.75">
      <c r="A27" s="4"/>
      <c r="B27" s="5"/>
      <c r="C27" s="6"/>
      <c r="D27" s="7"/>
    </row>
    <row r="28" spans="1:4" ht="12.75">
      <c r="A28" s="4"/>
      <c r="B28" s="8"/>
      <c r="C28" s="9"/>
      <c r="D28" s="7"/>
    </row>
    <row r="29" spans="1:4" ht="15.75">
      <c r="A29" s="4"/>
      <c r="B29" s="10"/>
      <c r="C29" s="9"/>
      <c r="D29" s="7"/>
    </row>
    <row r="30" spans="1:4" ht="15.75">
      <c r="A30" s="4"/>
      <c r="B30" s="10"/>
      <c r="C30" s="11"/>
      <c r="D30" s="7"/>
    </row>
    <row r="31" spans="1:4" ht="12.75">
      <c r="A31" s="4"/>
      <c r="B31" s="8"/>
      <c r="C31" s="6"/>
      <c r="D31" s="7"/>
    </row>
    <row r="32" spans="1:4" ht="15.75">
      <c r="A32" s="12"/>
      <c r="B32" s="10"/>
      <c r="C32" s="6"/>
      <c r="D32" s="7"/>
    </row>
    <row r="33" spans="1:4" ht="12.75">
      <c r="A33" s="13"/>
      <c r="B33" s="8"/>
      <c r="C33" s="6"/>
      <c r="D33" s="7"/>
    </row>
    <row r="34" spans="1:4" ht="12.75">
      <c r="A34" s="13"/>
      <c r="B34" s="8"/>
      <c r="C34" s="6"/>
      <c r="D34" s="7"/>
    </row>
    <row r="35" spans="1:4" ht="12.75">
      <c r="A35" s="4"/>
      <c r="B35" s="14"/>
      <c r="C35" s="6"/>
      <c r="D35" s="7"/>
    </row>
    <row r="36" spans="1:4" ht="12.75">
      <c r="A36" s="4"/>
      <c r="B36" s="15"/>
      <c r="C36" s="6"/>
      <c r="D36" s="7"/>
    </row>
    <row r="37" spans="1:4" ht="12.75">
      <c r="A37" s="4"/>
      <c r="B37" s="15"/>
      <c r="C37" s="6"/>
      <c r="D37" s="7"/>
    </row>
    <row r="38" spans="1:4" ht="12.75">
      <c r="A38" s="4"/>
      <c r="B38" s="15"/>
      <c r="C38" s="6"/>
      <c r="D38" s="7"/>
    </row>
    <row r="39" spans="1:4" ht="12.75">
      <c r="A39" s="4"/>
      <c r="B39" s="15"/>
      <c r="C39" s="6"/>
      <c r="D39" s="7"/>
    </row>
    <row r="40" spans="1:4" ht="12.75">
      <c r="A40" s="4"/>
      <c r="B40" s="15"/>
      <c r="C40" s="6"/>
      <c r="D40" s="7"/>
    </row>
    <row r="41" spans="1:4" ht="12.75">
      <c r="A41" s="4"/>
      <c r="B41" s="15"/>
      <c r="C41" s="6"/>
      <c r="D41" s="7"/>
    </row>
    <row r="42" spans="1:4" ht="12.75">
      <c r="A42" s="4"/>
      <c r="B42" s="15"/>
      <c r="C42" s="6"/>
      <c r="D42" s="7"/>
    </row>
    <row r="43" spans="1:4" ht="12.75">
      <c r="A43" s="4"/>
      <c r="B43" s="15"/>
      <c r="C43" s="6"/>
      <c r="D43" s="7"/>
    </row>
    <row r="44" spans="1:4" ht="12.75">
      <c r="A44" s="4"/>
      <c r="B44" s="15"/>
      <c r="C44" s="6"/>
      <c r="D44" s="7"/>
    </row>
    <row r="45" spans="1:4" ht="12.75">
      <c r="A45" s="4"/>
      <c r="B45" s="15"/>
      <c r="C45" s="6"/>
      <c r="D45" s="7"/>
    </row>
    <row r="46" spans="1:4" ht="12.75">
      <c r="A46" s="4"/>
      <c r="B46" s="15"/>
      <c r="C46" s="6"/>
      <c r="D46" s="7"/>
    </row>
    <row r="47" spans="1:4" ht="12.75">
      <c r="A47" s="4"/>
      <c r="B47" s="5"/>
      <c r="C47" s="6"/>
      <c r="D47" s="7"/>
    </row>
    <row r="48" spans="1:4" ht="12.75">
      <c r="A48" s="4"/>
      <c r="B48" s="8"/>
      <c r="C48" s="9"/>
      <c r="D48" s="7"/>
    </row>
    <row r="49" spans="1:4" ht="12.75">
      <c r="A49" s="4"/>
      <c r="B49" s="8"/>
      <c r="C49" s="9"/>
      <c r="D49" s="7"/>
    </row>
    <row r="50" spans="1:4" ht="12.75">
      <c r="A50" s="4"/>
      <c r="B50" s="5"/>
      <c r="C50" s="6"/>
      <c r="D50" s="7"/>
    </row>
    <row r="51" spans="1:4" ht="12.75">
      <c r="A51" s="4"/>
      <c r="B51" s="16"/>
      <c r="C51" s="6"/>
      <c r="D51" s="7"/>
    </row>
    <row r="52" spans="1:4" ht="12.75">
      <c r="A52" s="4"/>
      <c r="B52" s="5"/>
      <c r="C52" s="6"/>
      <c r="D52" s="7"/>
    </row>
    <row r="53" spans="1:4" ht="12.75">
      <c r="A53" s="4"/>
      <c r="B53" s="5"/>
      <c r="C53" s="6"/>
      <c r="D53" s="7"/>
    </row>
    <row r="54" spans="1:4" ht="12.75">
      <c r="A54" s="4"/>
      <c r="B54" s="5"/>
      <c r="C54" s="6"/>
      <c r="D54" s="7"/>
    </row>
    <row r="55" spans="1:4" ht="12.75">
      <c r="A55" s="4"/>
      <c r="B55" s="5"/>
      <c r="C55" s="6"/>
      <c r="D55" s="7"/>
    </row>
    <row r="56" spans="1:4" ht="12.75">
      <c r="A56" s="4"/>
      <c r="B56" s="5"/>
      <c r="C56" s="6"/>
      <c r="D56" s="7"/>
    </row>
    <row r="57" spans="1:4" ht="12.75">
      <c r="A57" s="4"/>
      <c r="B57" s="5"/>
      <c r="C57" s="6"/>
      <c r="D57" s="7"/>
    </row>
    <row r="58" spans="1:4" ht="12.75">
      <c r="A58" s="4"/>
      <c r="B58" s="5"/>
      <c r="C58" s="6"/>
      <c r="D58" s="7"/>
    </row>
    <row r="59" spans="1:4" ht="12.75">
      <c r="A59" s="4"/>
      <c r="B59" s="5"/>
      <c r="C59" s="6"/>
      <c r="D59" s="7"/>
    </row>
    <row r="60" spans="1:4" ht="12.75">
      <c r="A60" s="4"/>
      <c r="B60" s="5"/>
      <c r="C60" s="6"/>
      <c r="D60" s="7"/>
    </row>
    <row r="61" spans="1:4" ht="12.75">
      <c r="A61" s="4"/>
      <c r="B61" s="14"/>
      <c r="C61" s="6"/>
      <c r="D61" s="7"/>
    </row>
    <row r="62" spans="1:4" ht="12.75">
      <c r="A62" s="4"/>
      <c r="B62" s="8"/>
      <c r="C62" s="9"/>
      <c r="D62" s="7"/>
    </row>
    <row r="63" spans="1:4" ht="12.75">
      <c r="A63" s="4"/>
      <c r="B63" s="5"/>
      <c r="C63" s="6"/>
      <c r="D63" s="7"/>
    </row>
    <row r="64" spans="1:4" ht="15.75">
      <c r="A64" s="4"/>
      <c r="B64" s="10"/>
      <c r="C64" s="11"/>
      <c r="D64" s="7"/>
    </row>
    <row r="65" spans="1:4" ht="15.75">
      <c r="A65" s="4"/>
      <c r="B65" s="10"/>
      <c r="C65" s="11"/>
      <c r="D65" s="7"/>
    </row>
    <row r="66" spans="1:4" ht="12.75">
      <c r="A66" s="4"/>
      <c r="B66" s="5"/>
      <c r="C66" s="6"/>
      <c r="D66" s="7"/>
    </row>
    <row r="67" spans="1:4" ht="15.75">
      <c r="A67" s="12"/>
      <c r="B67" s="10"/>
      <c r="C67" s="6"/>
      <c r="D67" s="7"/>
    </row>
    <row r="68" spans="1:4" ht="12.75">
      <c r="A68" s="13"/>
      <c r="B68" s="8"/>
      <c r="C68" s="6"/>
      <c r="D68" s="7"/>
    </row>
    <row r="69" spans="1:4" ht="12.75">
      <c r="A69" s="13"/>
      <c r="B69" s="17"/>
      <c r="C69" s="6"/>
      <c r="D69" s="7"/>
    </row>
    <row r="70" spans="1:4" ht="12.75">
      <c r="A70" s="4"/>
      <c r="B70" s="15"/>
      <c r="C70" s="6"/>
      <c r="D70" s="7"/>
    </row>
    <row r="71" spans="1:4" ht="12.75">
      <c r="A71" s="4"/>
      <c r="B71" s="15"/>
      <c r="C71" s="6"/>
      <c r="D71" s="7"/>
    </row>
    <row r="72" spans="1:4" ht="12.75">
      <c r="A72" s="4"/>
      <c r="B72" s="15"/>
      <c r="C72" s="6"/>
      <c r="D72" s="7"/>
    </row>
    <row r="73" spans="1:4" ht="12.75">
      <c r="A73" s="4"/>
      <c r="B73" s="15"/>
      <c r="C73" s="6"/>
      <c r="D73" s="7"/>
    </row>
    <row r="74" spans="1:4" ht="12.75">
      <c r="A74" s="4"/>
      <c r="B74" s="15"/>
      <c r="C74" s="6"/>
      <c r="D74" s="7"/>
    </row>
    <row r="75" spans="1:4" ht="12.75">
      <c r="A75" s="4"/>
      <c r="B75" s="15"/>
      <c r="C75" s="6"/>
      <c r="D75" s="7"/>
    </row>
    <row r="76" spans="1:4" ht="12.75">
      <c r="A76" s="4"/>
      <c r="B76" s="15"/>
      <c r="C76" s="6"/>
      <c r="D76" s="7"/>
    </row>
    <row r="77" spans="1:4" ht="12.75">
      <c r="A77" s="4"/>
      <c r="B77" s="15"/>
      <c r="C77" s="6"/>
      <c r="D77" s="7"/>
    </row>
    <row r="78" spans="1:4" ht="12.75">
      <c r="A78" s="4"/>
      <c r="B78" s="15"/>
      <c r="C78" s="6"/>
      <c r="D78" s="7"/>
    </row>
    <row r="79" spans="1:4" ht="12.75">
      <c r="A79" s="4"/>
      <c r="B79" s="15"/>
      <c r="C79" s="6"/>
      <c r="D79" s="7"/>
    </row>
    <row r="80" spans="1:4" ht="12.75">
      <c r="A80" s="4"/>
      <c r="B80" s="15"/>
      <c r="C80" s="6"/>
      <c r="D80" s="7"/>
    </row>
    <row r="81" spans="1:4" ht="12.75">
      <c r="A81" s="4"/>
      <c r="B81" s="15"/>
      <c r="C81" s="6"/>
      <c r="D81" s="7"/>
    </row>
    <row r="82" spans="1:4" ht="12.75">
      <c r="A82" s="4"/>
      <c r="B82" s="15"/>
      <c r="C82" s="6"/>
      <c r="D82" s="7"/>
    </row>
    <row r="83" spans="1:4" ht="12.75">
      <c r="A83" s="4"/>
      <c r="B83" s="15"/>
      <c r="C83" s="6"/>
      <c r="D83" s="7"/>
    </row>
    <row r="84" spans="1:4" ht="12.75">
      <c r="A84" s="4"/>
      <c r="B84" s="15"/>
      <c r="C84" s="6"/>
      <c r="D84" s="7"/>
    </row>
    <row r="85" spans="1:4" ht="12.75">
      <c r="A85" s="4"/>
      <c r="B85" s="15"/>
      <c r="C85" s="6"/>
      <c r="D85" s="7"/>
    </row>
    <row r="86" spans="1:4" ht="12.75">
      <c r="A86" s="4"/>
      <c r="B86" s="15"/>
      <c r="C86" s="6"/>
      <c r="D86" s="7"/>
    </row>
    <row r="87" spans="1:4" ht="12.75">
      <c r="A87" s="4"/>
      <c r="B87" s="15"/>
      <c r="C87" s="6"/>
      <c r="D87" s="7"/>
    </row>
    <row r="88" spans="1:4" ht="12.75">
      <c r="A88" s="4"/>
      <c r="B88" s="15"/>
      <c r="C88" s="6"/>
      <c r="D88" s="7"/>
    </row>
    <row r="89" spans="1:4" ht="12.75">
      <c r="A89" s="4"/>
      <c r="B89" s="15"/>
      <c r="C89" s="6"/>
      <c r="D89" s="7"/>
    </row>
    <row r="90" spans="1:4" ht="12.75">
      <c r="A90" s="4"/>
      <c r="B90" s="15"/>
      <c r="C90" s="6"/>
      <c r="D90" s="7"/>
    </row>
    <row r="91" spans="1:4" ht="12.75">
      <c r="A91" s="4"/>
      <c r="B91" s="15"/>
      <c r="C91" s="6"/>
      <c r="D91" s="7"/>
    </row>
    <row r="92" spans="1:4" ht="12.75">
      <c r="A92" s="4"/>
      <c r="B92" s="5"/>
      <c r="C92" s="6"/>
      <c r="D92" s="7"/>
    </row>
    <row r="93" spans="1:4" ht="12.75">
      <c r="A93" s="4"/>
      <c r="B93" s="5"/>
      <c r="C93" s="6"/>
      <c r="D93" s="7"/>
    </row>
    <row r="94" spans="1:4" ht="12.75">
      <c r="A94" s="4"/>
      <c r="B94" s="8"/>
      <c r="C94" s="9"/>
      <c r="D94" s="7"/>
    </row>
    <row r="95" spans="1:4" ht="12.75">
      <c r="A95" s="4"/>
      <c r="B95" s="5"/>
      <c r="C95" s="6"/>
      <c r="D95" s="7"/>
    </row>
    <row r="96" spans="1:4" ht="12.75">
      <c r="A96" s="13"/>
      <c r="B96" s="8"/>
      <c r="C96" s="6"/>
      <c r="D96" s="7"/>
    </row>
    <row r="97" spans="1:4" ht="12.75">
      <c r="A97" s="4"/>
      <c r="B97" s="5"/>
      <c r="C97" s="6"/>
      <c r="D97" s="7"/>
    </row>
    <row r="98" spans="1:4" ht="12.75">
      <c r="A98" s="4"/>
      <c r="B98" s="5"/>
      <c r="C98" s="6"/>
      <c r="D98" s="7"/>
    </row>
    <row r="99" spans="1:4" ht="12.75">
      <c r="A99" s="4"/>
      <c r="B99" s="5"/>
      <c r="C99" s="6"/>
      <c r="D99" s="7"/>
    </row>
    <row r="100" spans="1:4" ht="12.75">
      <c r="A100" s="4"/>
      <c r="B100" s="5"/>
      <c r="C100" s="6"/>
      <c r="D100" s="7"/>
    </row>
    <row r="101" spans="1:4" ht="12.75">
      <c r="A101" s="4"/>
      <c r="B101" s="5"/>
      <c r="C101" s="6"/>
      <c r="D101" s="7"/>
    </row>
    <row r="102" spans="1:3" ht="12.75">
      <c r="A102" s="18"/>
      <c r="B102" s="19"/>
      <c r="C102" s="20"/>
    </row>
    <row r="103" spans="1:3" ht="12.75">
      <c r="A103" s="18"/>
      <c r="B103" s="21"/>
      <c r="C103" s="20"/>
    </row>
    <row r="104" spans="1:3" ht="12.75">
      <c r="A104" s="18"/>
      <c r="B104" s="21"/>
      <c r="C104" s="20"/>
    </row>
    <row r="105" spans="1:3" ht="12.75">
      <c r="A105" s="18"/>
      <c r="B105" s="22"/>
      <c r="C105" s="23"/>
    </row>
    <row r="106" spans="1:3" ht="12.75">
      <c r="A106" s="18"/>
      <c r="B106" s="21"/>
      <c r="C106" s="20"/>
    </row>
    <row r="107" spans="1:3" ht="12.75">
      <c r="A107" s="24"/>
      <c r="B107" s="22"/>
      <c r="C107" s="20"/>
    </row>
    <row r="108" spans="1:3" ht="12.75">
      <c r="A108" s="18"/>
      <c r="B108" s="21"/>
      <c r="C108" s="20"/>
    </row>
    <row r="109" spans="1:3" ht="12.75">
      <c r="A109" s="18"/>
      <c r="B109" s="21"/>
      <c r="C109" s="20"/>
    </row>
    <row r="110" spans="1:3" ht="12.75">
      <c r="A110" s="18"/>
      <c r="B110" s="21"/>
      <c r="C110" s="20"/>
    </row>
    <row r="111" spans="1:3" ht="12.75">
      <c r="A111" s="18"/>
      <c r="B111" s="21"/>
      <c r="C111" s="20"/>
    </row>
    <row r="112" spans="1:3" ht="12.75">
      <c r="A112" s="18"/>
      <c r="B112" s="21"/>
      <c r="C112" s="20"/>
    </row>
    <row r="113" spans="1:3" ht="12.75">
      <c r="A113" s="18"/>
      <c r="B113" s="21"/>
      <c r="C113" s="20"/>
    </row>
    <row r="114" spans="1:3" ht="12.75">
      <c r="A114" s="18"/>
      <c r="B114" s="21"/>
      <c r="C114" s="20"/>
    </row>
    <row r="115" spans="1:3" ht="12.75">
      <c r="A115" s="18"/>
      <c r="B115" s="21"/>
      <c r="C115" s="20"/>
    </row>
    <row r="116" spans="1:3" ht="12.75">
      <c r="A116" s="18"/>
      <c r="B116" s="21"/>
      <c r="C116" s="20"/>
    </row>
    <row r="117" spans="1:3" ht="12.75">
      <c r="A117" s="18"/>
      <c r="B117" s="21"/>
      <c r="C117" s="20"/>
    </row>
    <row r="118" spans="1:3" ht="12.75">
      <c r="A118" s="18"/>
      <c r="B118" s="21"/>
      <c r="C118" s="20"/>
    </row>
    <row r="119" spans="1:3" ht="12.75">
      <c r="A119" s="18"/>
      <c r="B119" s="21"/>
      <c r="C119" s="20"/>
    </row>
    <row r="120" spans="1:3" ht="12.75">
      <c r="A120" s="18"/>
      <c r="B120" s="21"/>
      <c r="C120" s="20"/>
    </row>
    <row r="121" spans="1:3" ht="12.75">
      <c r="A121" s="18"/>
      <c r="B121" s="21"/>
      <c r="C121" s="20"/>
    </row>
    <row r="122" spans="1:3" ht="12.75">
      <c r="A122" s="18"/>
      <c r="B122" s="21"/>
      <c r="C122" s="20"/>
    </row>
    <row r="123" spans="1:3" ht="12.75">
      <c r="A123" s="18"/>
      <c r="B123" s="21"/>
      <c r="C123" s="20"/>
    </row>
    <row r="124" spans="1:3" ht="12.75">
      <c r="A124" s="18"/>
      <c r="B124" s="21"/>
      <c r="C124" s="20"/>
    </row>
    <row r="125" spans="1:3" ht="12.75">
      <c r="A125" s="18"/>
      <c r="B125" s="21"/>
      <c r="C125" s="20"/>
    </row>
    <row r="126" spans="1:3" ht="12.75">
      <c r="A126" s="18"/>
      <c r="B126" s="21"/>
      <c r="C126" s="20"/>
    </row>
    <row r="127" spans="1:3" ht="12.75">
      <c r="A127" s="18"/>
      <c r="B127" s="21"/>
      <c r="C127" s="20"/>
    </row>
    <row r="128" spans="1:3" ht="12.75">
      <c r="A128" s="18"/>
      <c r="B128" s="21"/>
      <c r="C128" s="20"/>
    </row>
    <row r="129" spans="1:3" ht="12.75">
      <c r="A129" s="18"/>
      <c r="B129" s="21"/>
      <c r="C129" s="20"/>
    </row>
    <row r="130" spans="1:3" ht="12.75">
      <c r="A130" s="18"/>
      <c r="B130" s="21"/>
      <c r="C130" s="20"/>
    </row>
    <row r="131" spans="1:3" ht="12.75">
      <c r="A131" s="18"/>
      <c r="B131" s="22"/>
      <c r="C131" s="23"/>
    </row>
    <row r="132" spans="1:3" ht="12.75">
      <c r="A132" s="18"/>
      <c r="B132" s="22"/>
      <c r="C132" s="23"/>
    </row>
    <row r="133" spans="1:3" ht="12.75">
      <c r="A133" s="24"/>
      <c r="B133" s="22"/>
      <c r="C133" s="23"/>
    </row>
    <row r="134" spans="1:3" ht="12.75">
      <c r="A134" s="18"/>
      <c r="B134" s="21"/>
      <c r="C134" s="20"/>
    </row>
    <row r="135" spans="1:3" ht="12.75">
      <c r="A135" s="18"/>
      <c r="B135" s="21"/>
      <c r="C135" s="25"/>
    </row>
    <row r="136" spans="1:3" ht="12.75">
      <c r="A136" s="18"/>
      <c r="B136" s="21"/>
      <c r="C136" s="25"/>
    </row>
    <row r="137" spans="1:3" ht="12.75">
      <c r="A137" s="18"/>
      <c r="B137" s="21"/>
      <c r="C137" s="25"/>
    </row>
    <row r="138" spans="1:3" ht="12.75">
      <c r="A138" s="18"/>
      <c r="B138" s="21"/>
      <c r="C138" s="25"/>
    </row>
    <row r="139" spans="1:3" ht="12.75">
      <c r="A139" s="18"/>
      <c r="B139" s="21"/>
      <c r="C139" s="25"/>
    </row>
    <row r="140" spans="1:3" ht="12.75">
      <c r="A140" s="18"/>
      <c r="B140" s="21"/>
      <c r="C140" s="25"/>
    </row>
    <row r="141" spans="1:3" ht="12.75">
      <c r="A141" s="18"/>
      <c r="B141" s="21"/>
      <c r="C141" s="25"/>
    </row>
    <row r="142" spans="1:3" ht="12.75">
      <c r="A142" s="18"/>
      <c r="B142" s="22"/>
      <c r="C142" s="26"/>
    </row>
    <row r="143" spans="1:3" ht="12.75">
      <c r="A143" s="18"/>
      <c r="B143" s="22"/>
      <c r="C143" s="26"/>
    </row>
    <row r="144" spans="1:3" ht="12.75">
      <c r="A144" s="24"/>
      <c r="B144" s="22"/>
      <c r="C144" s="26"/>
    </row>
    <row r="145" spans="1:3" ht="12.75">
      <c r="A145" s="18"/>
      <c r="B145" s="22"/>
      <c r="C145" s="26"/>
    </row>
    <row r="146" spans="1:3" ht="12.75">
      <c r="A146" s="18"/>
      <c r="B146" s="21"/>
      <c r="C146" s="20"/>
    </row>
    <row r="147" spans="1:3" ht="12.75">
      <c r="A147" s="18"/>
      <c r="B147" s="21"/>
      <c r="C147" s="20"/>
    </row>
    <row r="148" spans="1:3" ht="12.75">
      <c r="A148" s="18"/>
      <c r="B148" s="21"/>
      <c r="C148" s="20"/>
    </row>
    <row r="149" spans="1:3" ht="12.75">
      <c r="A149" s="18"/>
      <c r="B149" s="21"/>
      <c r="C149" s="20"/>
    </row>
    <row r="150" spans="1:3" ht="12.75">
      <c r="A150" s="18"/>
      <c r="B150" s="21"/>
      <c r="C150" s="20"/>
    </row>
    <row r="151" spans="1:3" ht="12.75">
      <c r="A151" s="18"/>
      <c r="B151" s="22"/>
      <c r="C151" s="26"/>
    </row>
    <row r="152" spans="1:3" ht="12.75">
      <c r="A152" s="18"/>
      <c r="B152" s="22"/>
      <c r="C152" s="26"/>
    </row>
    <row r="153" spans="1:3" ht="12.75">
      <c r="A153" s="18"/>
      <c r="B153" s="22"/>
      <c r="C153" s="26"/>
    </row>
    <row r="154" spans="1:3" ht="15.75">
      <c r="A154" s="18"/>
      <c r="B154" s="27"/>
      <c r="C154" s="28"/>
    </row>
    <row r="155" spans="1:3" ht="15.75">
      <c r="A155" s="18"/>
      <c r="B155" s="27"/>
      <c r="C155" s="28"/>
    </row>
    <row r="156" spans="1:3" ht="12.75">
      <c r="A156" s="18"/>
      <c r="B156" s="22"/>
      <c r="C156" s="20"/>
    </row>
    <row r="157" spans="1:3" ht="15.75">
      <c r="A157" s="29"/>
      <c r="B157" s="27"/>
      <c r="C157" s="20"/>
    </row>
    <row r="158" spans="1:3" ht="12.75">
      <c r="A158" s="24"/>
      <c r="B158" s="22"/>
      <c r="C158" s="20"/>
    </row>
    <row r="159" spans="1:3" ht="12.75">
      <c r="A159" s="24"/>
      <c r="B159" s="22"/>
      <c r="C159" s="20"/>
    </row>
    <row r="160" spans="1:3" ht="12.75">
      <c r="A160" s="24"/>
      <c r="B160" s="22"/>
      <c r="C160" s="20"/>
    </row>
    <row r="161" spans="1:3" ht="12.75">
      <c r="A161" s="18"/>
      <c r="B161" s="21"/>
      <c r="C161" s="20"/>
    </row>
    <row r="162" spans="1:3" ht="12.75">
      <c r="A162" s="18"/>
      <c r="B162" s="21"/>
      <c r="C162" s="20"/>
    </row>
    <row r="163" spans="1:3" ht="12.75">
      <c r="A163" s="18"/>
      <c r="B163" s="21"/>
      <c r="C163" s="20"/>
    </row>
    <row r="164" spans="1:3" ht="12.75">
      <c r="A164" s="18"/>
      <c r="B164" s="21"/>
      <c r="C164" s="20"/>
    </row>
    <row r="165" spans="1:3" ht="12.75">
      <c r="A165" s="18"/>
      <c r="B165" s="21"/>
      <c r="C165" s="20"/>
    </row>
    <row r="166" spans="1:3" ht="12.75">
      <c r="A166" s="18"/>
      <c r="B166" s="21"/>
      <c r="C166" s="20"/>
    </row>
    <row r="167" spans="1:3" ht="12.75">
      <c r="A167" s="18"/>
      <c r="B167" s="21"/>
      <c r="C167" s="20"/>
    </row>
    <row r="168" spans="1:3" ht="12.75">
      <c r="A168" s="18"/>
      <c r="B168" s="21"/>
      <c r="C168" s="20"/>
    </row>
    <row r="169" spans="1:3" ht="12.75">
      <c r="A169" s="18"/>
      <c r="B169" s="21"/>
      <c r="C169" s="20"/>
    </row>
    <row r="170" spans="1:3" ht="12.75">
      <c r="A170" s="18"/>
      <c r="B170" s="21"/>
      <c r="C170" s="20"/>
    </row>
    <row r="171" spans="1:3" ht="12.75">
      <c r="A171" s="18"/>
      <c r="B171" s="21"/>
      <c r="C171" s="20"/>
    </row>
    <row r="172" spans="1:3" ht="12.75">
      <c r="A172" s="18"/>
      <c r="B172" s="21"/>
      <c r="C172" s="20"/>
    </row>
    <row r="173" spans="1:3" ht="12.75">
      <c r="A173" s="18"/>
      <c r="B173" s="21"/>
      <c r="C173" s="20"/>
    </row>
    <row r="174" spans="1:3" ht="12.75">
      <c r="A174" s="18"/>
      <c r="B174" s="21"/>
      <c r="C174" s="20"/>
    </row>
    <row r="175" spans="1:3" ht="12.75">
      <c r="A175" s="30"/>
      <c r="B175" s="21"/>
      <c r="C175" s="20"/>
    </row>
    <row r="176" spans="1:3" ht="12.75">
      <c r="A176" s="18"/>
      <c r="B176" s="21"/>
      <c r="C176" s="20"/>
    </row>
    <row r="177" spans="1:3" ht="12.75">
      <c r="A177" s="18"/>
      <c r="B177" s="22"/>
      <c r="C177" s="23"/>
    </row>
    <row r="178" spans="1:3" ht="12.75">
      <c r="A178" s="18"/>
      <c r="B178" s="21"/>
      <c r="C178" s="20"/>
    </row>
    <row r="179" spans="1:3" ht="12.75">
      <c r="A179" s="24"/>
      <c r="B179" s="22"/>
      <c r="C179" s="20"/>
    </row>
    <row r="180" spans="1:3" ht="12.75">
      <c r="A180" s="18"/>
      <c r="B180" s="21"/>
      <c r="C180" s="20"/>
    </row>
    <row r="181" spans="1:3" ht="12.75">
      <c r="A181" s="18"/>
      <c r="B181" s="21"/>
      <c r="C181" s="20"/>
    </row>
    <row r="182" spans="1:3" ht="12.75">
      <c r="A182" s="18"/>
      <c r="B182" s="21"/>
      <c r="C182" s="20"/>
    </row>
    <row r="183" spans="1:3" ht="12.75">
      <c r="A183" s="18"/>
      <c r="B183" s="21"/>
      <c r="C183" s="20"/>
    </row>
    <row r="184" spans="1:3" ht="12.75">
      <c r="A184" s="18"/>
      <c r="B184" s="21"/>
      <c r="C184" s="20"/>
    </row>
    <row r="185" spans="1:3" ht="12.75">
      <c r="A185" s="18"/>
      <c r="B185" s="21"/>
      <c r="C185" s="20"/>
    </row>
    <row r="186" spans="1:3" ht="12.75">
      <c r="A186" s="18"/>
      <c r="B186" s="22"/>
      <c r="C186" s="23"/>
    </row>
    <row r="187" spans="1:3" ht="12.75">
      <c r="A187" s="18"/>
      <c r="B187" s="22"/>
      <c r="C187" s="23"/>
    </row>
    <row r="188" spans="1:3" ht="12.75">
      <c r="A188" s="24"/>
      <c r="B188" s="22"/>
      <c r="C188" s="20"/>
    </row>
    <row r="189" spans="1:3" ht="12.75">
      <c r="A189" s="24"/>
      <c r="B189" s="30"/>
      <c r="C189" s="20"/>
    </row>
    <row r="190" spans="1:3" ht="12.75">
      <c r="A190" s="18"/>
      <c r="B190" s="30"/>
      <c r="C190" s="20"/>
    </row>
    <row r="191" spans="1:3" ht="12.75">
      <c r="A191" s="18"/>
      <c r="B191" s="30"/>
      <c r="C191" s="20"/>
    </row>
    <row r="192" spans="1:3" ht="12.75">
      <c r="A192" s="18"/>
      <c r="B192" s="30"/>
      <c r="C192" s="20"/>
    </row>
    <row r="193" spans="1:3" ht="12.75">
      <c r="A193" s="18"/>
      <c r="B193" s="31"/>
      <c r="C193" s="20"/>
    </row>
    <row r="194" spans="1:3" ht="12.75">
      <c r="A194" s="18"/>
      <c r="B194" s="22"/>
      <c r="C194" s="23"/>
    </row>
    <row r="195" spans="1:3" ht="12.75">
      <c r="A195" s="18"/>
      <c r="B195" s="31"/>
      <c r="C195" s="20"/>
    </row>
    <row r="196" spans="1:3" ht="12.75">
      <c r="A196" s="24"/>
      <c r="B196" s="22"/>
      <c r="C196" s="20"/>
    </row>
    <row r="197" spans="1:3" ht="12.75">
      <c r="A197" s="24"/>
      <c r="B197" s="22"/>
      <c r="C197" s="20"/>
    </row>
    <row r="198" spans="1:3" ht="12.75">
      <c r="A198" s="18"/>
      <c r="B198" s="30"/>
      <c r="C198" s="20"/>
    </row>
    <row r="199" spans="1:3" ht="12.75">
      <c r="A199" s="18"/>
      <c r="B199" s="30"/>
      <c r="C199" s="20"/>
    </row>
    <row r="200" spans="1:3" ht="12.75">
      <c r="A200" s="18"/>
      <c r="B200" s="30"/>
      <c r="C200" s="20"/>
    </row>
    <row r="201" spans="1:3" ht="12.75">
      <c r="A201" s="18"/>
      <c r="B201" s="30"/>
      <c r="C201" s="20"/>
    </row>
    <row r="202" spans="1:3" ht="12.75">
      <c r="A202" s="18"/>
      <c r="B202" s="21"/>
      <c r="C202" s="20"/>
    </row>
    <row r="203" spans="1:3" ht="12.75">
      <c r="A203" s="18"/>
      <c r="B203" s="22"/>
      <c r="C203" s="23"/>
    </row>
    <row r="204" spans="1:3" ht="12.75">
      <c r="A204" s="18"/>
      <c r="B204" s="21"/>
      <c r="C204" s="20"/>
    </row>
    <row r="205" spans="1:3" ht="12.75">
      <c r="A205" s="24"/>
      <c r="B205" s="32"/>
      <c r="C205" s="20"/>
    </row>
    <row r="206" spans="1:3" ht="12.75">
      <c r="A206" s="24"/>
      <c r="B206" s="33"/>
      <c r="C206" s="20"/>
    </row>
    <row r="207" spans="1:3" ht="12.75">
      <c r="A207" s="18"/>
      <c r="B207" s="30"/>
      <c r="C207" s="20"/>
    </row>
    <row r="208" spans="1:3" ht="12.75">
      <c r="A208" s="18"/>
      <c r="B208" s="30"/>
      <c r="C208" s="20"/>
    </row>
    <row r="209" spans="1:3" ht="12.75">
      <c r="A209" s="18"/>
      <c r="B209" s="30"/>
      <c r="C209" s="20"/>
    </row>
    <row r="210" spans="1:3" ht="12.75">
      <c r="A210" s="18"/>
      <c r="B210" s="30"/>
      <c r="C210" s="20"/>
    </row>
    <row r="211" spans="1:3" ht="12.75">
      <c r="A211" s="18"/>
      <c r="B211" s="30"/>
      <c r="C211" s="20"/>
    </row>
    <row r="212" spans="1:3" ht="12.75">
      <c r="A212" s="18"/>
      <c r="B212" s="30"/>
      <c r="C212" s="20"/>
    </row>
    <row r="213" spans="1:3" ht="12.75">
      <c r="A213" s="18"/>
      <c r="B213" s="30"/>
      <c r="C213" s="20"/>
    </row>
    <row r="214" spans="1:3" ht="12.75">
      <c r="A214" s="18"/>
      <c r="B214" s="30"/>
      <c r="C214" s="20"/>
    </row>
    <row r="215" spans="1:3" ht="12.75">
      <c r="A215" s="18"/>
      <c r="B215" s="21"/>
      <c r="C215" s="20"/>
    </row>
    <row r="216" spans="1:3" ht="12.75">
      <c r="A216" s="18"/>
      <c r="B216" s="22"/>
      <c r="C216" s="23"/>
    </row>
    <row r="217" spans="1:3" ht="12.75">
      <c r="A217" s="18"/>
      <c r="B217" s="22"/>
      <c r="C217" s="23"/>
    </row>
    <row r="218" spans="1:3" ht="12.75">
      <c r="A218" s="24"/>
      <c r="B218" s="22"/>
      <c r="C218" s="20"/>
    </row>
    <row r="219" spans="1:3" ht="12.75">
      <c r="A219" s="24"/>
      <c r="B219" s="22"/>
      <c r="C219" s="20"/>
    </row>
    <row r="220" spans="1:3" ht="12.75">
      <c r="A220" s="18"/>
      <c r="B220" s="21"/>
      <c r="C220" s="20"/>
    </row>
    <row r="221" spans="1:3" ht="12.75">
      <c r="A221" s="18"/>
      <c r="B221" s="21"/>
      <c r="C221" s="20"/>
    </row>
    <row r="222" spans="1:3" ht="12.75">
      <c r="A222" s="18"/>
      <c r="B222" s="21"/>
      <c r="C222" s="20"/>
    </row>
    <row r="223" spans="1:3" ht="12.75">
      <c r="A223" s="18"/>
      <c r="B223" s="21"/>
      <c r="C223" s="20"/>
    </row>
    <row r="224" spans="1:3" ht="12.75">
      <c r="A224" s="18"/>
      <c r="B224" s="30"/>
      <c r="C224" s="20"/>
    </row>
    <row r="225" spans="1:3" ht="12.75">
      <c r="A225" s="18"/>
      <c r="B225" s="30"/>
      <c r="C225" s="20"/>
    </row>
    <row r="226" spans="1:3" ht="12.75">
      <c r="A226" s="18"/>
      <c r="B226" s="30"/>
      <c r="C226" s="20"/>
    </row>
    <row r="227" spans="1:3" ht="12.75">
      <c r="A227" s="24"/>
      <c r="B227" s="22"/>
      <c r="C227" s="20"/>
    </row>
    <row r="228" spans="1:3" ht="12.75">
      <c r="A228" s="24"/>
      <c r="B228" s="22"/>
      <c r="C228" s="23"/>
    </row>
    <row r="229" spans="1:3" ht="12.75">
      <c r="A229" s="34"/>
      <c r="B229" s="22"/>
      <c r="C229" s="23"/>
    </row>
    <row r="230" spans="1:3" ht="15.75">
      <c r="A230" s="35"/>
      <c r="B230" s="27"/>
      <c r="C230" s="28"/>
    </row>
    <row r="231" spans="1:3" ht="15.75">
      <c r="A231" s="35"/>
      <c r="B231" s="27"/>
      <c r="C231" s="28"/>
    </row>
    <row r="232" spans="1:3" ht="15.75">
      <c r="A232" s="35"/>
      <c r="B232" s="27"/>
      <c r="C232" s="28"/>
    </row>
    <row r="233" spans="1:3" ht="15.75">
      <c r="A233" s="36"/>
      <c r="B233" s="27"/>
      <c r="C233" s="28"/>
    </row>
    <row r="234" spans="1:3" ht="15.75">
      <c r="A234" s="36"/>
      <c r="B234" s="27"/>
      <c r="C234" s="28"/>
    </row>
    <row r="235" spans="1:3" ht="15.75">
      <c r="A235" s="37"/>
      <c r="B235" s="22"/>
      <c r="C235" s="28"/>
    </row>
    <row r="236" spans="1:3" ht="15.75">
      <c r="A236" s="37"/>
      <c r="B236" s="22"/>
      <c r="C236" s="28"/>
    </row>
    <row r="237" spans="1:3" ht="15.75">
      <c r="A237" s="38"/>
      <c r="B237" s="39"/>
      <c r="C237" s="28"/>
    </row>
    <row r="238" spans="1:3" ht="15.75">
      <c r="A238" s="37"/>
      <c r="B238" s="27"/>
      <c r="C238" s="28"/>
    </row>
    <row r="239" spans="1:3" ht="12.75">
      <c r="A239" s="35"/>
      <c r="B239" s="21"/>
      <c r="C239" s="20"/>
    </row>
    <row r="240" spans="1:3" ht="12.75">
      <c r="A240" s="35"/>
      <c r="B240" s="21"/>
      <c r="C240" s="20"/>
    </row>
    <row r="241" spans="1:3" ht="12.75">
      <c r="A241" s="35"/>
      <c r="B241" s="21"/>
      <c r="C241" s="20"/>
    </row>
    <row r="242" spans="1:3" ht="12.75">
      <c r="A242" s="35"/>
      <c r="B242" s="21"/>
      <c r="C242" s="20"/>
    </row>
    <row r="243" spans="1:3" ht="12.75">
      <c r="A243" s="35"/>
      <c r="B243" s="21"/>
      <c r="C243" s="20"/>
    </row>
    <row r="244" spans="1:3" ht="12.75">
      <c r="A244" s="35"/>
      <c r="B244" s="19"/>
      <c r="C244" s="25"/>
    </row>
    <row r="245" spans="1:3" ht="12.75">
      <c r="A245" s="35"/>
      <c r="B245" s="21"/>
      <c r="C245" s="25"/>
    </row>
    <row r="246" spans="1:3" ht="12.75">
      <c r="A246" s="35"/>
      <c r="B246" s="21"/>
      <c r="C246" s="20"/>
    </row>
    <row r="247" spans="1:3" ht="12.75">
      <c r="A247" s="35"/>
      <c r="B247" s="21"/>
      <c r="C247" s="20"/>
    </row>
    <row r="248" spans="1:3" ht="12.75">
      <c r="A248" s="35"/>
      <c r="B248" s="21"/>
      <c r="C248" s="20"/>
    </row>
    <row r="249" spans="1:3" ht="12.75">
      <c r="A249" s="35"/>
      <c r="B249" s="21"/>
      <c r="C249" s="20"/>
    </row>
    <row r="250" spans="1:3" ht="12.75">
      <c r="A250" s="35"/>
      <c r="B250" s="30"/>
      <c r="C250" s="20"/>
    </row>
    <row r="251" spans="1:3" ht="12.75">
      <c r="A251" s="40"/>
      <c r="B251" s="21"/>
      <c r="C251" s="20"/>
    </row>
    <row r="252" spans="1:3" ht="12.75">
      <c r="A252" s="40"/>
      <c r="B252" s="21"/>
      <c r="C252" s="20"/>
    </row>
    <row r="253" spans="1:3" ht="12.75">
      <c r="A253" s="35"/>
      <c r="B253" s="22"/>
      <c r="C253" s="23"/>
    </row>
    <row r="254" spans="1:3" ht="15.75">
      <c r="A254" s="35"/>
      <c r="B254" s="27"/>
      <c r="C254" s="28"/>
    </row>
    <row r="255" spans="1:3" ht="15.75">
      <c r="A255" s="37"/>
      <c r="B255" s="39"/>
      <c r="C255" s="28"/>
    </row>
    <row r="256" spans="1:3" ht="15.75">
      <c r="A256" s="35"/>
      <c r="B256" s="19"/>
      <c r="C256" s="28"/>
    </row>
    <row r="257" spans="1:3" ht="12.75">
      <c r="A257" s="35"/>
      <c r="B257" s="19"/>
      <c r="C257" s="20"/>
    </row>
    <row r="258" spans="1:3" ht="12.75">
      <c r="A258" s="35"/>
      <c r="B258" s="19"/>
      <c r="C258" s="20"/>
    </row>
    <row r="259" spans="1:3" ht="12.75">
      <c r="A259" s="41"/>
      <c r="B259" s="19"/>
      <c r="C259" s="20"/>
    </row>
    <row r="260" spans="1:3" ht="12.75">
      <c r="A260" s="35"/>
      <c r="B260" s="21"/>
      <c r="C260" s="20"/>
    </row>
    <row r="261" spans="1:3" ht="12.75">
      <c r="A261" s="35"/>
      <c r="B261" s="21"/>
      <c r="C261" s="20"/>
    </row>
    <row r="262" spans="1:3" ht="12.75">
      <c r="A262" s="35"/>
      <c r="B262" s="21"/>
      <c r="C262" s="20"/>
    </row>
    <row r="263" spans="1:3" ht="12.75">
      <c r="A263" s="40"/>
      <c r="B263" s="19"/>
      <c r="C263" s="20"/>
    </row>
    <row r="264" spans="1:3" ht="12.75">
      <c r="A264" s="35"/>
      <c r="B264" s="21"/>
      <c r="C264" s="20"/>
    </row>
    <row r="265" spans="1:3" ht="12.75">
      <c r="A265" s="35"/>
      <c r="B265" s="21"/>
      <c r="C265" s="20"/>
    </row>
    <row r="266" spans="1:3" ht="12.75">
      <c r="A266" s="35"/>
      <c r="B266" s="21"/>
      <c r="C266" s="20"/>
    </row>
    <row r="267" spans="1:3" ht="12.75">
      <c r="A267" s="35"/>
      <c r="B267" s="21"/>
      <c r="C267" s="20"/>
    </row>
    <row r="268" spans="1:3" ht="15.75">
      <c r="A268" s="35"/>
      <c r="B268" s="21"/>
      <c r="C268" s="28"/>
    </row>
    <row r="269" spans="1:3" ht="12.75">
      <c r="A269" s="35"/>
      <c r="B269" s="22"/>
      <c r="C269" s="23"/>
    </row>
    <row r="270" spans="1:3" ht="12.75">
      <c r="A270" s="41"/>
      <c r="B270" s="22"/>
      <c r="C270" s="20"/>
    </row>
    <row r="271" spans="1:3" ht="12.75">
      <c r="A271" s="42"/>
      <c r="B271" s="22"/>
      <c r="C271" s="20"/>
    </row>
    <row r="272" spans="1:3" ht="12.75">
      <c r="A272" s="42"/>
      <c r="B272" s="22"/>
      <c r="C272" s="20"/>
    </row>
    <row r="273" spans="1:3" ht="12.75">
      <c r="A273" s="41"/>
      <c r="B273" s="21"/>
      <c r="C273" s="20"/>
    </row>
    <row r="274" spans="1:3" ht="12.75">
      <c r="A274" s="41"/>
      <c r="B274" s="21"/>
      <c r="C274" s="20"/>
    </row>
    <row r="275" spans="1:3" ht="12.75">
      <c r="A275" s="41"/>
      <c r="B275" s="21"/>
      <c r="C275" s="20"/>
    </row>
    <row r="276" spans="1:3" ht="12.75">
      <c r="A276" s="41"/>
      <c r="B276" s="21"/>
      <c r="C276" s="20"/>
    </row>
    <row r="277" spans="1:3" ht="12.75">
      <c r="A277" s="41"/>
      <c r="B277" s="21"/>
      <c r="C277" s="20"/>
    </row>
    <row r="278" spans="1:3" ht="12.75">
      <c r="A278" s="41"/>
      <c r="B278" s="21"/>
      <c r="C278" s="20"/>
    </row>
    <row r="279" spans="1:3" ht="12.75">
      <c r="A279" s="41"/>
      <c r="B279" s="21"/>
      <c r="C279" s="20"/>
    </row>
    <row r="280" spans="1:3" ht="12.75">
      <c r="A280" s="41"/>
      <c r="B280" s="22"/>
      <c r="C280" s="20"/>
    </row>
    <row r="281" spans="1:3" ht="12.75">
      <c r="A281" s="41"/>
      <c r="B281" s="22"/>
      <c r="C281" s="23"/>
    </row>
    <row r="282" spans="1:3" ht="12.75">
      <c r="A282" s="41"/>
      <c r="B282" s="22"/>
      <c r="C282" s="20"/>
    </row>
    <row r="283" spans="1:3" ht="12.75">
      <c r="A283" s="42"/>
      <c r="B283" s="22"/>
      <c r="C283" s="20"/>
    </row>
    <row r="284" spans="1:3" ht="12.75">
      <c r="A284" s="41"/>
      <c r="B284" s="19"/>
      <c r="C284" s="25"/>
    </row>
    <row r="285" spans="1:3" ht="12.75">
      <c r="A285" s="41"/>
      <c r="B285" s="21"/>
      <c r="C285" s="20"/>
    </row>
    <row r="286" spans="1:3" ht="12.75">
      <c r="A286" s="41"/>
      <c r="B286" s="21"/>
      <c r="C286" s="20"/>
    </row>
    <row r="287" spans="1:3" ht="12.75">
      <c r="A287" s="41"/>
      <c r="B287" s="21"/>
      <c r="C287" s="20"/>
    </row>
    <row r="288" spans="1:3" ht="12.75">
      <c r="A288" s="41"/>
      <c r="B288" s="21"/>
      <c r="C288" s="20"/>
    </row>
    <row r="289" spans="1:3" ht="12.75">
      <c r="A289" s="41"/>
      <c r="B289" s="21"/>
      <c r="C289" s="20"/>
    </row>
    <row r="290" spans="1:3" ht="12.75">
      <c r="A290" s="41"/>
      <c r="B290" s="21"/>
      <c r="C290" s="20"/>
    </row>
    <row r="291" spans="1:3" ht="12.75">
      <c r="A291" s="41"/>
      <c r="B291" s="22"/>
      <c r="C291" s="20"/>
    </row>
    <row r="292" spans="1:3" ht="12.75">
      <c r="A292" s="41"/>
      <c r="B292" s="22"/>
      <c r="C292" s="23"/>
    </row>
    <row r="293" spans="1:3" ht="12.75">
      <c r="A293" s="41"/>
      <c r="B293" s="22"/>
      <c r="C293" s="23"/>
    </row>
    <row r="294" spans="1:3" ht="12.75">
      <c r="A294" s="42"/>
      <c r="B294" s="22"/>
      <c r="C294" s="20"/>
    </row>
    <row r="295" spans="1:3" ht="12.75">
      <c r="A295" s="42"/>
      <c r="B295" s="22"/>
      <c r="C295" s="20"/>
    </row>
    <row r="296" spans="1:3" ht="12.75">
      <c r="A296" s="41"/>
      <c r="B296" s="19"/>
      <c r="C296" s="25"/>
    </row>
    <row r="297" spans="1:3" ht="12.75">
      <c r="A297" s="41"/>
      <c r="B297" s="21"/>
      <c r="C297" s="20"/>
    </row>
    <row r="298" spans="1:3" ht="12.75">
      <c r="A298" s="41"/>
      <c r="B298" s="21"/>
      <c r="C298" s="20"/>
    </row>
    <row r="299" spans="1:3" ht="12.75">
      <c r="A299" s="41"/>
      <c r="B299" s="21"/>
      <c r="C299" s="25"/>
    </row>
    <row r="300" spans="1:3" ht="12.75">
      <c r="A300" s="41"/>
      <c r="B300" s="21"/>
      <c r="C300" s="25"/>
    </row>
    <row r="301" spans="1:3" ht="12.75">
      <c r="A301" s="41"/>
      <c r="B301" s="21"/>
      <c r="C301" s="25"/>
    </row>
    <row r="302" spans="1:3" ht="12.75">
      <c r="A302" s="41"/>
      <c r="B302" s="21"/>
      <c r="C302" s="25"/>
    </row>
    <row r="303" spans="1:3" ht="12.75">
      <c r="A303" s="41"/>
      <c r="B303" s="22"/>
      <c r="C303" s="20"/>
    </row>
    <row r="304" spans="1:3" ht="12.75">
      <c r="A304" s="41"/>
      <c r="B304" s="22"/>
      <c r="C304" s="23"/>
    </row>
    <row r="305" spans="1:3" ht="12.75">
      <c r="A305" s="41"/>
      <c r="B305" s="21"/>
      <c r="C305" s="20"/>
    </row>
    <row r="306" spans="1:3" ht="12.75">
      <c r="A306" s="42"/>
      <c r="B306" s="22"/>
      <c r="C306" s="20"/>
    </row>
    <row r="307" spans="1:3" ht="12.75">
      <c r="A307" s="41"/>
      <c r="B307" s="22"/>
      <c r="C307" s="20"/>
    </row>
    <row r="308" spans="1:3" ht="12.75">
      <c r="A308" s="41"/>
      <c r="B308" s="21"/>
      <c r="C308" s="20"/>
    </row>
    <row r="309" spans="1:3" ht="12.75">
      <c r="A309" s="41"/>
      <c r="B309" s="21"/>
      <c r="C309" s="25"/>
    </row>
    <row r="310" spans="1:3" ht="12.75">
      <c r="A310" s="41"/>
      <c r="B310" s="21"/>
      <c r="C310" s="20"/>
    </row>
    <row r="311" spans="1:3" ht="12.75">
      <c r="A311" s="41"/>
      <c r="B311" s="21"/>
      <c r="C311" s="20"/>
    </row>
    <row r="312" spans="1:3" ht="12.75">
      <c r="A312" s="41"/>
      <c r="B312" s="21"/>
      <c r="C312" s="20"/>
    </row>
    <row r="313" spans="1:3" ht="12.75">
      <c r="A313" s="41"/>
      <c r="B313" s="21"/>
      <c r="C313" s="20"/>
    </row>
    <row r="314" spans="1:3" ht="12.75">
      <c r="A314" s="41"/>
      <c r="B314" s="22"/>
      <c r="C314" s="20"/>
    </row>
    <row r="315" spans="1:3" ht="12.75">
      <c r="A315" s="41"/>
      <c r="B315" s="22"/>
      <c r="C315" s="23"/>
    </row>
    <row r="316" spans="1:3" ht="12.75">
      <c r="A316" s="41"/>
      <c r="B316" s="22"/>
      <c r="C316" s="20"/>
    </row>
    <row r="317" spans="1:3" ht="12.75">
      <c r="A317" s="42"/>
      <c r="B317" s="22"/>
      <c r="C317" s="20"/>
    </row>
    <row r="318" spans="1:3" ht="12.75">
      <c r="A318" s="42"/>
      <c r="B318" s="22"/>
      <c r="C318" s="20"/>
    </row>
    <row r="319" spans="1:3" ht="12.75">
      <c r="A319" s="41"/>
      <c r="B319" s="21"/>
      <c r="C319" s="20"/>
    </row>
    <row r="320" spans="1:3" ht="12.75">
      <c r="A320" s="41"/>
      <c r="B320" s="21"/>
      <c r="C320" s="20"/>
    </row>
    <row r="321" spans="1:3" ht="12.75">
      <c r="A321" s="41"/>
      <c r="B321" s="21"/>
      <c r="C321" s="20"/>
    </row>
    <row r="322" spans="1:3" ht="12.75">
      <c r="A322" s="41"/>
      <c r="B322" s="21"/>
      <c r="C322" s="20"/>
    </row>
    <row r="323" spans="1:3" ht="12.75">
      <c r="A323" s="41"/>
      <c r="B323" s="21"/>
      <c r="C323" s="20"/>
    </row>
    <row r="324" spans="1:3" ht="12.75">
      <c r="A324" s="41"/>
      <c r="B324" s="21"/>
      <c r="C324" s="20"/>
    </row>
    <row r="325" spans="1:3" ht="12.75">
      <c r="A325" s="41"/>
      <c r="B325" s="21"/>
      <c r="C325" s="20"/>
    </row>
    <row r="326" spans="1:3" ht="12.75">
      <c r="A326" s="41"/>
      <c r="B326" s="43"/>
      <c r="C326" s="20"/>
    </row>
    <row r="327" spans="1:3" ht="12.75">
      <c r="A327" s="41"/>
      <c r="B327" s="22"/>
      <c r="C327" s="23"/>
    </row>
    <row r="328" spans="1:3" ht="12.75">
      <c r="A328" s="41"/>
      <c r="B328" s="22"/>
      <c r="C328" s="20"/>
    </row>
    <row r="329" spans="1:3" ht="12.75">
      <c r="A329" s="42"/>
      <c r="B329" s="22"/>
      <c r="C329" s="20"/>
    </row>
    <row r="330" spans="1:3" ht="12.75">
      <c r="A330" s="42"/>
      <c r="B330" s="22"/>
      <c r="C330" s="20"/>
    </row>
    <row r="331" spans="1:3" ht="12.75">
      <c r="A331" s="41"/>
      <c r="B331" s="21"/>
      <c r="C331" s="20"/>
    </row>
    <row r="332" spans="1:3" ht="12.75">
      <c r="A332" s="41"/>
      <c r="B332" s="44"/>
      <c r="C332" s="20"/>
    </row>
    <row r="333" spans="1:3" ht="12.75">
      <c r="A333" s="41"/>
      <c r="B333" s="21"/>
      <c r="C333" s="20"/>
    </row>
    <row r="334" spans="1:3" ht="12.75">
      <c r="A334" s="41"/>
      <c r="B334" s="21"/>
      <c r="C334" s="20"/>
    </row>
    <row r="335" spans="1:3" ht="12.75">
      <c r="A335" s="41"/>
      <c r="B335" s="21"/>
      <c r="C335" s="20"/>
    </row>
    <row r="336" spans="1:3" ht="12.75">
      <c r="A336" s="41"/>
      <c r="B336" s="21"/>
      <c r="C336" s="20"/>
    </row>
    <row r="337" spans="1:3" ht="12.75">
      <c r="A337" s="41"/>
      <c r="B337" s="21"/>
      <c r="C337" s="20"/>
    </row>
    <row r="338" spans="1:3" ht="12.75">
      <c r="A338" s="41"/>
      <c r="B338" s="22"/>
      <c r="C338" s="20"/>
    </row>
    <row r="339" spans="1:3" ht="12.75">
      <c r="A339" s="41"/>
      <c r="B339" s="22"/>
      <c r="C339" s="23"/>
    </row>
    <row r="340" spans="1:3" ht="12.75">
      <c r="A340" s="41"/>
      <c r="B340" s="22"/>
      <c r="C340" s="23"/>
    </row>
    <row r="341" spans="1:3" ht="12.75">
      <c r="A341" s="41"/>
      <c r="B341" s="22"/>
      <c r="C341" s="23"/>
    </row>
    <row r="342" spans="1:3" ht="12.75">
      <c r="A342" s="42"/>
      <c r="B342" s="22"/>
      <c r="C342" s="23"/>
    </row>
    <row r="343" spans="1:3" ht="12.75">
      <c r="A343" s="42"/>
      <c r="B343" s="22"/>
      <c r="C343" s="23"/>
    </row>
    <row r="344" spans="1:3" ht="12.75">
      <c r="A344" s="41"/>
      <c r="B344" s="21"/>
      <c r="C344" s="20"/>
    </row>
    <row r="345" spans="1:3" ht="12.75">
      <c r="A345" s="41"/>
      <c r="B345" s="21"/>
      <c r="C345" s="20"/>
    </row>
    <row r="346" spans="1:3" ht="12.75">
      <c r="A346" s="41"/>
      <c r="B346" s="21"/>
      <c r="C346" s="20"/>
    </row>
    <row r="347" spans="1:3" ht="12.75">
      <c r="A347" s="41"/>
      <c r="B347" s="21"/>
      <c r="C347" s="20"/>
    </row>
    <row r="348" spans="1:3" ht="12.75">
      <c r="A348" s="41"/>
      <c r="B348" s="21"/>
      <c r="C348" s="20"/>
    </row>
    <row r="349" spans="1:3" ht="12.75">
      <c r="A349" s="41"/>
      <c r="B349" s="21"/>
      <c r="C349" s="20"/>
    </row>
    <row r="350" spans="1:3" ht="12.75">
      <c r="A350" s="41"/>
      <c r="B350" s="22"/>
      <c r="C350" s="23"/>
    </row>
    <row r="351" spans="1:3" ht="12.75">
      <c r="A351" s="41"/>
      <c r="B351" s="22"/>
      <c r="C351" s="23"/>
    </row>
    <row r="352" spans="1:3" ht="12.75">
      <c r="A352" s="41"/>
      <c r="B352" s="22"/>
      <c r="C352" s="23"/>
    </row>
    <row r="353" spans="1:3" ht="15.75">
      <c r="A353" s="42"/>
      <c r="B353" s="22"/>
      <c r="C353" s="28"/>
    </row>
    <row r="354" spans="1:3" ht="15.75">
      <c r="A354" s="41"/>
      <c r="B354" s="22"/>
      <c r="C354" s="28"/>
    </row>
    <row r="355" spans="1:3" ht="12.75">
      <c r="A355" s="41"/>
      <c r="B355" s="44"/>
      <c r="C355" s="20"/>
    </row>
    <row r="356" spans="1:3" ht="12.75">
      <c r="A356" s="41"/>
      <c r="B356" s="21"/>
      <c r="C356" s="20"/>
    </row>
    <row r="357" spans="1:3" ht="12.75">
      <c r="A357" s="41"/>
      <c r="B357" s="21"/>
      <c r="C357" s="20"/>
    </row>
    <row r="358" spans="1:3" ht="12.75">
      <c r="A358" s="41"/>
      <c r="B358" s="21"/>
      <c r="C358" s="20"/>
    </row>
    <row r="359" spans="1:3" ht="12.75">
      <c r="A359" s="41"/>
      <c r="B359" s="21"/>
      <c r="C359" s="20"/>
    </row>
    <row r="360" spans="1:3" ht="12.75">
      <c r="A360" s="41"/>
      <c r="B360" s="21"/>
      <c r="C360" s="20"/>
    </row>
    <row r="361" spans="1:3" ht="12.75">
      <c r="A361" s="41"/>
      <c r="B361" s="21"/>
      <c r="C361" s="20"/>
    </row>
    <row r="362" spans="1:3" ht="12.75">
      <c r="A362" s="41"/>
      <c r="B362" s="21"/>
      <c r="C362" s="20"/>
    </row>
    <row r="363" spans="1:3" ht="12.75">
      <c r="A363" s="18"/>
      <c r="B363" s="21"/>
      <c r="C363" s="20"/>
    </row>
    <row r="364" spans="1:3" ht="12.75">
      <c r="A364" s="18"/>
      <c r="B364" s="22"/>
      <c r="C364" s="23"/>
    </row>
    <row r="365" spans="1:3" ht="12.75">
      <c r="A365" s="41"/>
      <c r="B365" s="22"/>
      <c r="C365" s="23"/>
    </row>
    <row r="366" spans="1:3" ht="12.75">
      <c r="A366" s="41"/>
      <c r="B366" s="22"/>
      <c r="C366" s="23"/>
    </row>
    <row r="367" spans="1:3" ht="12.75">
      <c r="A367" s="41"/>
      <c r="B367" s="22"/>
      <c r="C367" s="20"/>
    </row>
    <row r="368" spans="1:3" ht="12.75">
      <c r="A368" s="42"/>
      <c r="B368" s="22"/>
      <c r="C368" s="23"/>
    </row>
    <row r="369" spans="1:3" ht="12.75">
      <c r="A369" s="41"/>
      <c r="B369" s="22"/>
      <c r="C369" s="23"/>
    </row>
    <row r="370" spans="1:3" ht="12.75">
      <c r="A370" s="41"/>
      <c r="B370" s="21"/>
      <c r="C370" s="20"/>
    </row>
    <row r="371" spans="1:3" ht="12.75">
      <c r="A371" s="41"/>
      <c r="B371" s="21"/>
      <c r="C371" s="20"/>
    </row>
    <row r="372" spans="1:3" ht="12.75">
      <c r="A372" s="41"/>
      <c r="B372" s="21"/>
      <c r="C372" s="20"/>
    </row>
    <row r="373" spans="1:3" ht="12.75">
      <c r="A373" s="41"/>
      <c r="B373" s="21"/>
      <c r="C373" s="20"/>
    </row>
    <row r="374" spans="1:3" ht="12.75">
      <c r="A374" s="41"/>
      <c r="B374" s="21"/>
      <c r="C374" s="20"/>
    </row>
    <row r="375" spans="1:3" ht="12.75">
      <c r="A375" s="41"/>
      <c r="B375" s="21"/>
      <c r="C375" s="20"/>
    </row>
    <row r="376" spans="1:3" ht="12.75">
      <c r="A376" s="41"/>
      <c r="B376" s="21"/>
      <c r="C376" s="23"/>
    </row>
    <row r="377" spans="1:3" ht="12.75">
      <c r="A377" s="41"/>
      <c r="B377" s="22"/>
      <c r="C377" s="23"/>
    </row>
    <row r="378" spans="1:3" ht="12.75">
      <c r="A378" s="41"/>
      <c r="B378" s="22"/>
      <c r="C378" s="23"/>
    </row>
    <row r="379" spans="1:3" ht="12.75">
      <c r="A379" s="42"/>
      <c r="B379" s="22"/>
      <c r="C379" s="23"/>
    </row>
    <row r="380" spans="1:3" ht="15.75">
      <c r="A380" s="42"/>
      <c r="B380" s="22"/>
      <c r="C380" s="28"/>
    </row>
    <row r="381" spans="1:3" ht="12.75">
      <c r="A381" s="41"/>
      <c r="B381" s="21"/>
      <c r="C381" s="20"/>
    </row>
    <row r="382" spans="1:3" ht="12.75">
      <c r="A382" s="41"/>
      <c r="B382" s="21"/>
      <c r="C382" s="20"/>
    </row>
    <row r="383" spans="1:3" ht="12.75">
      <c r="A383" s="42"/>
      <c r="B383" s="22"/>
      <c r="C383" s="20"/>
    </row>
    <row r="384" spans="1:3" ht="12.75">
      <c r="A384" s="41"/>
      <c r="B384" s="22"/>
      <c r="C384" s="23"/>
    </row>
    <row r="385" spans="1:3" ht="15.75">
      <c r="A385" s="41"/>
      <c r="B385" s="22"/>
      <c r="C385" s="28"/>
    </row>
    <row r="386" spans="1:3" ht="15.75">
      <c r="A386" s="41"/>
      <c r="B386" s="27"/>
      <c r="C386" s="28"/>
    </row>
    <row r="387" spans="1:3" ht="15.75">
      <c r="A387" s="41"/>
      <c r="B387" s="27"/>
      <c r="C387" s="28"/>
    </row>
    <row r="388" spans="1:3" ht="15.75">
      <c r="A388" s="42"/>
      <c r="B388" s="27"/>
      <c r="C388" s="28"/>
    </row>
    <row r="389" spans="1:3" ht="15.75">
      <c r="A389" s="42"/>
      <c r="B389" s="27"/>
      <c r="C389" s="28"/>
    </row>
    <row r="390" spans="1:3" ht="12.75">
      <c r="A390" s="41"/>
      <c r="B390" s="21"/>
      <c r="C390" s="20"/>
    </row>
    <row r="391" spans="1:3" ht="12.75">
      <c r="A391" s="41"/>
      <c r="B391" s="21"/>
      <c r="C391" s="20"/>
    </row>
    <row r="392" spans="1:3" ht="12.75">
      <c r="A392" s="41"/>
      <c r="B392" s="21"/>
      <c r="C392" s="20"/>
    </row>
    <row r="393" spans="1:3" ht="12.75">
      <c r="A393" s="41"/>
      <c r="B393" s="21"/>
      <c r="C393" s="20"/>
    </row>
    <row r="394" spans="1:3" ht="12.75">
      <c r="A394" s="41"/>
      <c r="B394" s="21"/>
      <c r="C394" s="20"/>
    </row>
    <row r="395" spans="1:3" ht="12.75">
      <c r="A395" s="41"/>
      <c r="B395" s="21"/>
      <c r="C395" s="20"/>
    </row>
    <row r="396" spans="1:3" ht="15.75">
      <c r="A396" s="41"/>
      <c r="B396" s="27"/>
      <c r="C396" s="28"/>
    </row>
    <row r="397" spans="1:3" ht="15.75">
      <c r="A397" s="41"/>
      <c r="B397" s="27"/>
      <c r="C397" s="28"/>
    </row>
    <row r="398" spans="1:3" ht="15.75">
      <c r="A398" s="41"/>
      <c r="B398" s="27"/>
      <c r="C398" s="20"/>
    </row>
    <row r="399" spans="1:3" ht="15.75">
      <c r="A399" s="45"/>
      <c r="B399" s="27"/>
      <c r="C399" s="20"/>
    </row>
    <row r="400" spans="1:3" ht="15.75">
      <c r="A400" s="45"/>
      <c r="B400" s="27"/>
      <c r="C400" s="20"/>
    </row>
    <row r="401" spans="1:3" ht="12.75">
      <c r="A401" s="42"/>
      <c r="B401" s="22"/>
      <c r="C401" s="20"/>
    </row>
    <row r="402" spans="1:3" ht="12.75">
      <c r="A402" s="42"/>
      <c r="B402" s="22"/>
      <c r="C402" s="20"/>
    </row>
    <row r="403" spans="1:3" ht="12.75">
      <c r="A403" s="41"/>
      <c r="B403" s="21"/>
      <c r="C403" s="20"/>
    </row>
    <row r="404" spans="1:3" ht="12.75">
      <c r="A404" s="41"/>
      <c r="B404" s="21"/>
      <c r="C404" s="20"/>
    </row>
    <row r="405" spans="1:3" ht="12.75">
      <c r="A405" s="42"/>
      <c r="B405" s="22"/>
      <c r="C405" s="20"/>
    </row>
    <row r="406" spans="1:3" ht="12.75">
      <c r="A406" s="42"/>
      <c r="B406" s="22"/>
      <c r="C406" s="23"/>
    </row>
    <row r="407" spans="1:3" ht="12.75">
      <c r="A407" s="42"/>
      <c r="B407" s="22"/>
      <c r="C407" s="20"/>
    </row>
    <row r="408" spans="1:3" ht="12.75">
      <c r="A408" s="42"/>
      <c r="B408" s="22"/>
      <c r="C408" s="20"/>
    </row>
    <row r="409" spans="1:3" ht="12.75">
      <c r="A409" s="41"/>
      <c r="B409" s="21"/>
      <c r="C409" s="20"/>
    </row>
    <row r="410" spans="1:3" ht="12.75">
      <c r="A410" s="41"/>
      <c r="B410" s="21"/>
      <c r="C410" s="20"/>
    </row>
    <row r="411" spans="1:3" ht="12.75">
      <c r="A411" s="41"/>
      <c r="B411" s="21"/>
      <c r="C411" s="20"/>
    </row>
    <row r="412" spans="1:3" ht="12.75">
      <c r="A412" s="41"/>
      <c r="B412" s="21"/>
      <c r="C412" s="20"/>
    </row>
    <row r="413" spans="1:3" ht="12.75">
      <c r="A413" s="41"/>
      <c r="B413" s="21"/>
      <c r="C413" s="20"/>
    </row>
    <row r="414" spans="1:3" ht="12.75">
      <c r="A414" s="41"/>
      <c r="B414" s="22"/>
      <c r="C414" s="23"/>
    </row>
    <row r="415" spans="1:3" ht="12.75">
      <c r="A415" s="41"/>
      <c r="B415" s="21"/>
      <c r="C415" s="20"/>
    </row>
    <row r="416" spans="1:3" ht="12.75">
      <c r="A416" s="42"/>
      <c r="B416" s="22"/>
      <c r="C416" s="20"/>
    </row>
    <row r="417" spans="1:3" ht="12.75">
      <c r="A417" s="42"/>
      <c r="B417" s="22"/>
      <c r="C417" s="20"/>
    </row>
    <row r="418" spans="1:3" ht="12.75">
      <c r="A418" s="41"/>
      <c r="B418" s="21"/>
      <c r="C418" s="20"/>
    </row>
    <row r="419" spans="1:3" ht="12.75">
      <c r="A419" s="41"/>
      <c r="B419" s="21"/>
      <c r="C419" s="20"/>
    </row>
    <row r="420" spans="1:3" ht="12.75">
      <c r="A420" s="41"/>
      <c r="B420" s="21"/>
      <c r="C420" s="20"/>
    </row>
    <row r="421" spans="1:3" ht="12.75">
      <c r="A421" s="41"/>
      <c r="B421" s="22"/>
      <c r="C421" s="23"/>
    </row>
    <row r="422" spans="1:3" ht="12.75">
      <c r="A422" s="41"/>
      <c r="B422" s="21"/>
      <c r="C422" s="20"/>
    </row>
    <row r="423" spans="1:3" ht="12.75">
      <c r="A423" s="42"/>
      <c r="B423" s="39"/>
      <c r="C423" s="25"/>
    </row>
    <row r="424" spans="1:3" ht="12.75">
      <c r="A424" s="42"/>
      <c r="B424" s="22"/>
      <c r="C424" s="20"/>
    </row>
    <row r="425" spans="1:3" ht="12.75">
      <c r="A425" s="41"/>
      <c r="B425" s="21"/>
      <c r="C425" s="20"/>
    </row>
    <row r="426" spans="1:3" ht="12.75">
      <c r="A426" s="41"/>
      <c r="B426" s="21"/>
      <c r="C426" s="20"/>
    </row>
    <row r="427" spans="1:3" ht="12.75">
      <c r="A427" s="41"/>
      <c r="B427" s="21"/>
      <c r="C427" s="20"/>
    </row>
    <row r="428" spans="1:3" ht="12.75">
      <c r="A428" s="41"/>
      <c r="B428" s="21"/>
      <c r="C428" s="20"/>
    </row>
    <row r="429" spans="1:3" ht="12.75">
      <c r="A429" s="41"/>
      <c r="B429" s="21"/>
      <c r="C429" s="20"/>
    </row>
    <row r="430" spans="1:3" ht="12.75">
      <c r="A430" s="41"/>
      <c r="B430" s="21"/>
      <c r="C430" s="20"/>
    </row>
    <row r="431" spans="1:3" ht="12.75">
      <c r="A431" s="41"/>
      <c r="B431" s="21"/>
      <c r="C431" s="20"/>
    </row>
    <row r="432" spans="1:3" ht="12.75">
      <c r="A432" s="41"/>
      <c r="B432" s="21"/>
      <c r="C432" s="20"/>
    </row>
    <row r="433" spans="1:3" ht="12.75">
      <c r="A433" s="41"/>
      <c r="B433" s="21"/>
      <c r="C433" s="20"/>
    </row>
    <row r="434" spans="1:3" ht="12.75">
      <c r="A434" s="41"/>
      <c r="B434" s="21"/>
      <c r="C434" s="20"/>
    </row>
    <row r="435" spans="1:3" ht="12.75">
      <c r="A435" s="41"/>
      <c r="B435" s="22"/>
      <c r="C435" s="23"/>
    </row>
    <row r="436" spans="1:3" ht="12.75">
      <c r="A436" s="41"/>
      <c r="B436" s="21"/>
      <c r="C436" s="20"/>
    </row>
    <row r="437" spans="1:3" ht="12.75">
      <c r="A437" s="42"/>
      <c r="B437" s="22"/>
      <c r="C437" s="20"/>
    </row>
    <row r="438" spans="1:3" ht="12.75">
      <c r="A438" s="42"/>
      <c r="B438" s="22"/>
      <c r="C438" s="20"/>
    </row>
    <row r="439" spans="1:3" ht="12.75">
      <c r="A439" s="41"/>
      <c r="B439" s="21"/>
      <c r="C439" s="20"/>
    </row>
    <row r="440" spans="1:3" ht="12.75">
      <c r="A440" s="41"/>
      <c r="B440" s="21"/>
      <c r="C440" s="20"/>
    </row>
    <row r="441" spans="1:3" ht="12.75">
      <c r="A441" s="41"/>
      <c r="B441" s="21"/>
      <c r="C441" s="20"/>
    </row>
    <row r="442" spans="1:3" ht="12.75">
      <c r="A442" s="41"/>
      <c r="B442" s="21"/>
      <c r="C442" s="20"/>
    </row>
    <row r="443" spans="1:3" ht="12.75">
      <c r="A443" s="41"/>
      <c r="B443" s="21"/>
      <c r="C443" s="20"/>
    </row>
    <row r="444" spans="1:3" ht="12.75">
      <c r="A444" s="41"/>
      <c r="B444" s="21"/>
      <c r="C444" s="20"/>
    </row>
    <row r="445" spans="1:3" ht="12.75">
      <c r="A445" s="41"/>
      <c r="B445" s="21"/>
      <c r="C445" s="20"/>
    </row>
    <row r="446" spans="1:3" ht="12.75">
      <c r="A446" s="41"/>
      <c r="B446" s="22"/>
      <c r="C446" s="23"/>
    </row>
    <row r="447" spans="1:3" ht="12.75">
      <c r="A447" s="41"/>
      <c r="B447" s="21"/>
      <c r="C447" s="20"/>
    </row>
    <row r="448" spans="1:3" ht="12.75">
      <c r="A448" s="42"/>
      <c r="B448" s="22"/>
      <c r="C448" s="20"/>
    </row>
    <row r="449" spans="1:3" ht="12.75">
      <c r="A449" s="42"/>
      <c r="B449" s="22"/>
      <c r="C449" s="20"/>
    </row>
    <row r="450" spans="1:3" ht="12.75">
      <c r="A450" s="41"/>
      <c r="B450" s="21"/>
      <c r="C450" s="20"/>
    </row>
    <row r="451" spans="1:3" ht="12.75">
      <c r="A451" s="41"/>
      <c r="B451" s="21"/>
      <c r="C451" s="20"/>
    </row>
    <row r="452" spans="1:3" ht="12.75">
      <c r="A452" s="41"/>
      <c r="B452" s="21"/>
      <c r="C452" s="20"/>
    </row>
    <row r="453" spans="1:3" ht="12.75">
      <c r="A453" s="41"/>
      <c r="B453" s="21"/>
      <c r="C453" s="20"/>
    </row>
    <row r="454" spans="1:3" ht="12.75">
      <c r="A454" s="41"/>
      <c r="B454" s="22"/>
      <c r="C454" s="23"/>
    </row>
    <row r="455" spans="1:3" ht="12.75">
      <c r="A455" s="41"/>
      <c r="B455" s="21"/>
      <c r="C455" s="20"/>
    </row>
    <row r="456" spans="1:3" ht="12.75">
      <c r="A456" s="42"/>
      <c r="B456" s="22"/>
      <c r="C456" s="20"/>
    </row>
    <row r="457" spans="1:3" ht="12.75">
      <c r="A457" s="42"/>
      <c r="B457" s="22"/>
      <c r="C457" s="20"/>
    </row>
    <row r="458" spans="1:3" ht="12.75">
      <c r="A458" s="41"/>
      <c r="B458" s="21"/>
      <c r="C458" s="20"/>
    </row>
    <row r="459" spans="1:3" ht="12.75">
      <c r="A459" s="41"/>
      <c r="B459" s="21"/>
      <c r="C459" s="20"/>
    </row>
    <row r="460" spans="1:3" ht="12.75">
      <c r="A460" s="41"/>
      <c r="B460" s="21"/>
      <c r="C460" s="20"/>
    </row>
    <row r="461" spans="1:3" ht="12.75">
      <c r="A461" s="41"/>
      <c r="B461" s="21"/>
      <c r="C461" s="20"/>
    </row>
    <row r="462" spans="1:3" ht="12.75">
      <c r="A462" s="41"/>
      <c r="B462" s="21"/>
      <c r="C462" s="20"/>
    </row>
    <row r="463" spans="1:3" ht="12.75">
      <c r="A463" s="41"/>
      <c r="B463" s="21"/>
      <c r="C463" s="20"/>
    </row>
    <row r="464" spans="1:3" ht="12.75">
      <c r="A464" s="41"/>
      <c r="B464" s="21"/>
      <c r="C464" s="20"/>
    </row>
    <row r="465" spans="1:3" ht="12.75">
      <c r="A465" s="41"/>
      <c r="B465" s="22"/>
      <c r="C465" s="23"/>
    </row>
    <row r="466" spans="1:3" ht="12.75">
      <c r="A466" s="41"/>
      <c r="B466" s="21"/>
      <c r="C466" s="20"/>
    </row>
    <row r="467" spans="1:3" ht="12.75">
      <c r="A467" s="42"/>
      <c r="B467" s="22"/>
      <c r="C467" s="20"/>
    </row>
    <row r="468" spans="1:3" ht="12.75">
      <c r="A468" s="42"/>
      <c r="B468" s="22"/>
      <c r="C468" s="20"/>
    </row>
    <row r="469" spans="1:3" ht="12.75">
      <c r="A469" s="41"/>
      <c r="B469" s="21"/>
      <c r="C469" s="20"/>
    </row>
    <row r="470" spans="1:3" ht="12.75">
      <c r="A470" s="41"/>
      <c r="B470" s="21"/>
      <c r="C470" s="20"/>
    </row>
    <row r="471" spans="1:3" ht="12.75">
      <c r="A471" s="41"/>
      <c r="B471" s="22"/>
      <c r="C471" s="23"/>
    </row>
    <row r="472" spans="1:3" ht="12.75">
      <c r="A472" s="41"/>
      <c r="B472" s="21"/>
      <c r="C472" s="20"/>
    </row>
    <row r="473" spans="1:3" ht="12.75">
      <c r="A473" s="42"/>
      <c r="B473" s="22"/>
      <c r="C473" s="20"/>
    </row>
    <row r="474" spans="1:3" ht="12.75">
      <c r="A474" s="41"/>
      <c r="B474" s="21"/>
      <c r="C474" s="20"/>
    </row>
    <row r="475" spans="1:3" ht="12.75">
      <c r="A475" s="41"/>
      <c r="B475" s="21"/>
      <c r="C475" s="20"/>
    </row>
    <row r="476" spans="1:3" ht="12.75">
      <c r="A476" s="41"/>
      <c r="B476" s="21"/>
      <c r="C476" s="20"/>
    </row>
    <row r="477" spans="1:3" ht="12.75">
      <c r="A477" s="41"/>
      <c r="B477" s="21"/>
      <c r="C477" s="20"/>
    </row>
    <row r="478" spans="1:3" ht="12.75">
      <c r="A478" s="41"/>
      <c r="B478" s="21"/>
      <c r="C478" s="20"/>
    </row>
    <row r="479" spans="1:3" ht="12.75">
      <c r="A479" s="41"/>
      <c r="B479" s="22"/>
      <c r="C479" s="23"/>
    </row>
    <row r="480" spans="1:3" ht="12.75">
      <c r="A480" s="41"/>
      <c r="B480" s="22"/>
      <c r="C480" s="23"/>
    </row>
    <row r="481" spans="1:3" ht="15.75">
      <c r="A481" s="41"/>
      <c r="B481" s="27"/>
      <c r="C481" s="28"/>
    </row>
    <row r="482" spans="1:3" ht="15.75">
      <c r="A482" s="41"/>
      <c r="B482" s="27"/>
      <c r="C482" s="28"/>
    </row>
    <row r="483" spans="1:3" ht="12.75">
      <c r="A483" s="41"/>
      <c r="B483" s="22"/>
      <c r="C483" s="20"/>
    </row>
    <row r="484" spans="1:3" ht="15.75">
      <c r="A484" s="45"/>
      <c r="B484" s="27"/>
      <c r="C484" s="20"/>
    </row>
    <row r="485" spans="1:3" ht="15.75">
      <c r="A485" s="45"/>
      <c r="B485" s="27"/>
      <c r="C485" s="20"/>
    </row>
    <row r="486" spans="1:3" ht="15.75">
      <c r="A486" s="38"/>
      <c r="B486" s="27"/>
      <c r="C486" s="20"/>
    </row>
    <row r="487" spans="1:3" ht="12.75">
      <c r="A487" s="40"/>
      <c r="B487" s="19"/>
      <c r="C487" s="25"/>
    </row>
    <row r="488" spans="1:3" ht="12.75">
      <c r="A488" s="40"/>
      <c r="B488" s="19"/>
      <c r="C488" s="25"/>
    </row>
    <row r="489" spans="1:3" ht="15.75">
      <c r="A489" s="45"/>
      <c r="B489" s="22"/>
      <c r="C489" s="23"/>
    </row>
    <row r="490" spans="1:3" ht="12.75">
      <c r="A490" s="42"/>
      <c r="B490" s="22"/>
      <c r="C490" s="20"/>
    </row>
    <row r="491" spans="1:3" ht="12.75">
      <c r="A491" s="42"/>
      <c r="B491" s="22"/>
      <c r="C491" s="20"/>
    </row>
    <row r="492" spans="1:3" ht="12.75">
      <c r="A492" s="41"/>
      <c r="B492" s="21"/>
      <c r="C492" s="20"/>
    </row>
    <row r="493" spans="1:3" ht="12.75">
      <c r="A493" s="41"/>
      <c r="B493" s="21"/>
      <c r="C493" s="20"/>
    </row>
    <row r="494" spans="1:3" ht="12.75">
      <c r="A494" s="41"/>
      <c r="B494" s="21"/>
      <c r="C494" s="20"/>
    </row>
    <row r="495" spans="1:3" ht="12.75">
      <c r="A495" s="41"/>
      <c r="B495" s="21"/>
      <c r="C495" s="20"/>
    </row>
    <row r="496" spans="1:3" ht="12.75">
      <c r="A496" s="41"/>
      <c r="B496" s="21"/>
      <c r="C496" s="20"/>
    </row>
    <row r="497" spans="1:3" ht="12.75">
      <c r="A497" s="41"/>
      <c r="B497" s="21"/>
      <c r="C497" s="20"/>
    </row>
    <row r="498" spans="1:3" ht="12.75">
      <c r="A498" s="41"/>
      <c r="B498" s="21"/>
      <c r="C498" s="20"/>
    </row>
    <row r="499" spans="1:3" ht="12.75">
      <c r="A499" s="41"/>
      <c r="B499" s="21"/>
      <c r="C499" s="20"/>
    </row>
    <row r="500" spans="1:3" ht="12.75">
      <c r="A500" s="41"/>
      <c r="B500" s="22"/>
      <c r="C500" s="23"/>
    </row>
    <row r="501" spans="1:3" ht="12.75">
      <c r="A501" s="41"/>
      <c r="B501" s="21"/>
      <c r="C501" s="20"/>
    </row>
    <row r="502" spans="1:3" ht="12.75">
      <c r="A502" s="42"/>
      <c r="B502" s="22"/>
      <c r="C502" s="20"/>
    </row>
    <row r="503" spans="1:3" ht="12.75">
      <c r="A503" s="42"/>
      <c r="B503" s="22"/>
      <c r="C503" s="20"/>
    </row>
    <row r="504" spans="1:3" ht="12.75">
      <c r="A504" s="41"/>
      <c r="B504" s="21"/>
      <c r="C504" s="20"/>
    </row>
    <row r="505" spans="1:3" ht="12.75">
      <c r="A505" s="41"/>
      <c r="B505" s="21"/>
      <c r="C505" s="20"/>
    </row>
    <row r="506" spans="1:3" ht="12.75">
      <c r="A506" s="41"/>
      <c r="B506" s="21"/>
      <c r="C506" s="20"/>
    </row>
    <row r="507" spans="1:3" ht="12.75">
      <c r="A507" s="41"/>
      <c r="B507" s="21"/>
      <c r="C507" s="20"/>
    </row>
    <row r="508" spans="1:3" ht="12.75">
      <c r="A508" s="41"/>
      <c r="B508" s="22"/>
      <c r="C508" s="23"/>
    </row>
    <row r="509" spans="1:3" ht="12.75">
      <c r="A509" s="41"/>
      <c r="B509" s="21"/>
      <c r="C509" s="20"/>
    </row>
    <row r="510" spans="1:3" ht="12.75">
      <c r="A510" s="42"/>
      <c r="B510" s="22"/>
      <c r="C510" s="20"/>
    </row>
    <row r="511" spans="1:3" ht="12.75">
      <c r="A511" s="42"/>
      <c r="B511" s="22"/>
      <c r="C511" s="20"/>
    </row>
    <row r="512" spans="1:3" ht="12.75">
      <c r="A512" s="41"/>
      <c r="B512" s="21"/>
      <c r="C512" s="20"/>
    </row>
    <row r="513" spans="1:3" ht="12.75">
      <c r="A513" s="41"/>
      <c r="B513" s="21"/>
      <c r="C513" s="20"/>
    </row>
    <row r="514" spans="1:3" ht="12.75">
      <c r="A514" s="41"/>
      <c r="B514" s="21"/>
      <c r="C514" s="20"/>
    </row>
    <row r="515" spans="1:3" ht="12.75">
      <c r="A515" s="41"/>
      <c r="B515" s="21"/>
      <c r="C515" s="20"/>
    </row>
    <row r="516" spans="1:3" ht="12.75">
      <c r="A516" s="42"/>
      <c r="B516" s="22"/>
      <c r="C516" s="23"/>
    </row>
    <row r="517" spans="1:3" ht="12.75">
      <c r="A517" s="42"/>
      <c r="B517" s="22"/>
      <c r="C517" s="20"/>
    </row>
    <row r="518" spans="1:3" ht="15.75">
      <c r="A518" s="42"/>
      <c r="B518" s="27"/>
      <c r="C518" s="28"/>
    </row>
    <row r="519" spans="1:3" ht="15.75">
      <c r="A519" s="42"/>
      <c r="B519" s="27"/>
      <c r="C519" s="28"/>
    </row>
    <row r="520" spans="1:3" ht="12.75">
      <c r="A520" s="42"/>
      <c r="B520" s="22"/>
      <c r="C520" s="20"/>
    </row>
    <row r="521" spans="1:3" ht="15.75">
      <c r="A521" s="45"/>
      <c r="B521" s="27"/>
      <c r="C521" s="20"/>
    </row>
    <row r="522" spans="1:3" ht="12.75">
      <c r="A522" s="42"/>
      <c r="B522" s="22"/>
      <c r="C522" s="20"/>
    </row>
    <row r="523" spans="1:3" ht="12.75">
      <c r="A523" s="42"/>
      <c r="B523" s="22"/>
      <c r="C523" s="20"/>
    </row>
    <row r="524" spans="1:3" ht="12.75">
      <c r="A524" s="42"/>
      <c r="B524" s="22"/>
      <c r="C524" s="20"/>
    </row>
    <row r="525" spans="1:3" ht="12.75">
      <c r="A525" s="41"/>
      <c r="B525" s="21"/>
      <c r="C525" s="20"/>
    </row>
    <row r="526" spans="1:3" ht="12.75">
      <c r="A526" s="41"/>
      <c r="B526" s="21"/>
      <c r="C526" s="20"/>
    </row>
    <row r="527" spans="1:3" ht="12.75">
      <c r="A527" s="41"/>
      <c r="B527" s="21"/>
      <c r="C527" s="20"/>
    </row>
    <row r="528" spans="1:3" ht="12.75">
      <c r="A528" s="41"/>
      <c r="B528" s="21"/>
      <c r="C528" s="20"/>
    </row>
    <row r="529" spans="1:3" ht="12.75">
      <c r="A529" s="41"/>
      <c r="B529" s="21"/>
      <c r="C529" s="20"/>
    </row>
    <row r="530" spans="1:3" ht="12.75">
      <c r="A530" s="41"/>
      <c r="B530" s="21"/>
      <c r="C530" s="20"/>
    </row>
    <row r="531" spans="1:3" ht="12.75">
      <c r="A531" s="41"/>
      <c r="B531" s="21"/>
      <c r="C531" s="20"/>
    </row>
    <row r="532" spans="1:3" ht="12.75">
      <c r="A532" s="41"/>
      <c r="B532" s="21"/>
      <c r="C532" s="20"/>
    </row>
    <row r="533" spans="1:3" ht="12.75">
      <c r="A533" s="41"/>
      <c r="B533" s="21"/>
      <c r="C533" s="20"/>
    </row>
    <row r="534" spans="1:3" ht="12.75">
      <c r="A534" s="41"/>
      <c r="B534" s="21"/>
      <c r="C534" s="20"/>
    </row>
    <row r="535" spans="1:3" ht="12.75">
      <c r="A535" s="42"/>
      <c r="B535" s="22"/>
      <c r="C535" s="23"/>
    </row>
    <row r="536" spans="1:3" ht="12.75">
      <c r="A536" s="42"/>
      <c r="B536" s="22"/>
      <c r="C536" s="20"/>
    </row>
    <row r="537" spans="1:3" ht="12.75">
      <c r="A537" s="42"/>
      <c r="B537" s="22"/>
      <c r="C537" s="20"/>
    </row>
    <row r="538" spans="1:3" ht="12.75">
      <c r="A538" s="42"/>
      <c r="B538" s="22"/>
      <c r="C538" s="20"/>
    </row>
    <row r="539" spans="1:3" ht="12.75">
      <c r="A539" s="41"/>
      <c r="B539" s="21"/>
      <c r="C539" s="20"/>
    </row>
    <row r="540" spans="1:3" ht="12.75">
      <c r="A540" s="41"/>
      <c r="B540" s="21"/>
      <c r="C540" s="20"/>
    </row>
    <row r="541" spans="1:3" ht="12.75">
      <c r="A541" s="41"/>
      <c r="B541" s="21"/>
      <c r="C541" s="20"/>
    </row>
    <row r="542" spans="1:3" ht="12.75">
      <c r="A542" s="41"/>
      <c r="B542" s="21"/>
      <c r="C542" s="20"/>
    </row>
    <row r="543" spans="1:3" ht="12.75">
      <c r="A543" s="41"/>
      <c r="B543" s="21"/>
      <c r="C543" s="20"/>
    </row>
    <row r="544" spans="1:3" ht="12.75">
      <c r="A544" s="41"/>
      <c r="B544" s="21"/>
      <c r="C544" s="20"/>
    </row>
    <row r="545" spans="1:3" ht="12.75">
      <c r="A545" s="41"/>
      <c r="B545" s="21"/>
      <c r="C545" s="20"/>
    </row>
    <row r="546" spans="1:3" ht="12.75">
      <c r="A546" s="41"/>
      <c r="B546" s="21"/>
      <c r="C546" s="20"/>
    </row>
    <row r="547" spans="1:3" ht="12.75">
      <c r="A547" s="41"/>
      <c r="B547" s="22"/>
      <c r="C547" s="23"/>
    </row>
    <row r="548" spans="1:3" ht="12.75">
      <c r="A548" s="41"/>
      <c r="B548" s="21"/>
      <c r="C548" s="20"/>
    </row>
    <row r="549" spans="1:3" ht="15.75">
      <c r="A549" s="41"/>
      <c r="B549" s="27"/>
      <c r="C549" s="28"/>
    </row>
    <row r="550" spans="1:3" ht="15.75">
      <c r="A550" s="41"/>
      <c r="B550" s="27"/>
      <c r="C550" s="28"/>
    </row>
    <row r="551" spans="1:3" ht="12.75">
      <c r="A551" s="41"/>
      <c r="B551" s="22"/>
      <c r="C551" s="20"/>
    </row>
    <row r="552" spans="1:3" ht="15.75">
      <c r="A552" s="45"/>
      <c r="B552" s="27"/>
      <c r="C552" s="20"/>
    </row>
    <row r="553" spans="1:3" ht="15.75">
      <c r="A553" s="45"/>
      <c r="B553" s="27"/>
      <c r="C553" s="20"/>
    </row>
    <row r="554" spans="1:3" ht="15.75">
      <c r="A554" s="42"/>
      <c r="B554" s="27"/>
      <c r="C554" s="20"/>
    </row>
    <row r="555" spans="1:3" ht="12.75">
      <c r="A555" s="41"/>
      <c r="B555" s="19"/>
      <c r="C555" s="20"/>
    </row>
    <row r="556" spans="1:3" ht="12.75">
      <c r="A556" s="41"/>
      <c r="B556" s="21"/>
      <c r="C556" s="20"/>
    </row>
    <row r="557" spans="1:3" ht="15.75">
      <c r="A557" s="45"/>
      <c r="B557" s="27"/>
      <c r="C557" s="20"/>
    </row>
    <row r="558" spans="1:3" ht="15.75">
      <c r="A558" s="45"/>
      <c r="B558" s="22"/>
      <c r="C558" s="23"/>
    </row>
    <row r="559" spans="1:3" ht="15.75">
      <c r="A559" s="45"/>
      <c r="B559" s="22"/>
      <c r="C559" s="23"/>
    </row>
    <row r="560" spans="1:3" ht="15.75">
      <c r="A560" s="42"/>
      <c r="B560" s="27"/>
      <c r="C560" s="20"/>
    </row>
    <row r="561" spans="1:3" ht="12.75">
      <c r="A561" s="41"/>
      <c r="B561" s="21"/>
      <c r="C561" s="20"/>
    </row>
    <row r="562" spans="1:3" ht="12.75">
      <c r="A562" s="41"/>
      <c r="B562" s="21"/>
      <c r="C562" s="20"/>
    </row>
    <row r="563" spans="1:3" ht="12.75">
      <c r="A563" s="41"/>
      <c r="B563" s="21"/>
      <c r="C563" s="20"/>
    </row>
    <row r="564" spans="1:3" ht="12.75">
      <c r="A564" s="41"/>
      <c r="B564" s="21"/>
      <c r="C564" s="20"/>
    </row>
    <row r="565" spans="1:3" ht="12.75">
      <c r="A565" s="41"/>
      <c r="B565" s="21"/>
      <c r="C565" s="20"/>
    </row>
    <row r="566" spans="1:3" ht="12.75">
      <c r="A566" s="41"/>
      <c r="B566" s="21"/>
      <c r="C566" s="20"/>
    </row>
    <row r="567" spans="1:3" ht="12.75">
      <c r="A567" s="41"/>
      <c r="B567" s="22"/>
      <c r="C567" s="23"/>
    </row>
    <row r="568" spans="1:3" ht="15.75">
      <c r="A568" s="41"/>
      <c r="B568" s="27"/>
      <c r="C568" s="28"/>
    </row>
    <row r="569" spans="1:3" ht="15.75">
      <c r="A569" s="41"/>
      <c r="B569" s="27"/>
      <c r="C569" s="28"/>
    </row>
    <row r="570" spans="1:3" ht="12.75">
      <c r="A570" s="41"/>
      <c r="B570" s="22"/>
      <c r="C570" s="20"/>
    </row>
    <row r="571" spans="1:3" ht="15.75">
      <c r="A571" s="45"/>
      <c r="B571" s="27"/>
      <c r="C571" s="20"/>
    </row>
    <row r="572" spans="1:3" ht="12.75">
      <c r="A572" s="42"/>
      <c r="B572" s="22"/>
      <c r="C572" s="20"/>
    </row>
    <row r="573" spans="1:3" ht="12.75">
      <c r="A573" s="42"/>
      <c r="B573" s="22"/>
      <c r="C573" s="20"/>
    </row>
    <row r="574" spans="1:3" ht="12.75">
      <c r="A574" s="41"/>
      <c r="B574" s="21"/>
      <c r="C574" s="20"/>
    </row>
    <row r="575" spans="1:3" ht="12.75">
      <c r="A575" s="41"/>
      <c r="B575" s="21"/>
      <c r="C575" s="20"/>
    </row>
    <row r="576" spans="1:3" ht="12.75">
      <c r="A576" s="41"/>
      <c r="B576" s="21"/>
      <c r="C576" s="20"/>
    </row>
    <row r="577" spans="1:3" ht="12.75">
      <c r="A577" s="41"/>
      <c r="B577" s="21"/>
      <c r="C577" s="20"/>
    </row>
    <row r="578" spans="1:3" ht="12.75">
      <c r="A578" s="41"/>
      <c r="B578" s="21"/>
      <c r="C578" s="20"/>
    </row>
    <row r="579" spans="1:3" ht="12.75">
      <c r="A579" s="41"/>
      <c r="B579" s="21"/>
      <c r="C579" s="20"/>
    </row>
    <row r="580" spans="1:3" ht="12.75">
      <c r="A580" s="41"/>
      <c r="B580" s="22"/>
      <c r="C580" s="23"/>
    </row>
    <row r="581" spans="1:3" ht="12.75">
      <c r="A581" s="41"/>
      <c r="B581" s="22"/>
      <c r="C581" s="23"/>
    </row>
    <row r="582" spans="1:3" ht="12.75">
      <c r="A582" s="41"/>
      <c r="B582" s="22"/>
      <c r="C582" s="23"/>
    </row>
    <row r="583" spans="1:3" ht="12.75">
      <c r="A583" s="42"/>
      <c r="B583" s="22"/>
      <c r="C583" s="23"/>
    </row>
    <row r="584" spans="1:3" ht="12.75">
      <c r="A584" s="41"/>
      <c r="B584" s="21"/>
      <c r="C584" s="20"/>
    </row>
    <row r="585" spans="1:3" ht="12.75">
      <c r="A585" s="41"/>
      <c r="B585" s="21"/>
      <c r="C585" s="20"/>
    </row>
    <row r="586" spans="1:3" ht="12.75">
      <c r="A586" s="41"/>
      <c r="B586" s="21"/>
      <c r="C586" s="20"/>
    </row>
    <row r="587" spans="1:3" ht="12.75">
      <c r="A587" s="41"/>
      <c r="B587" s="21"/>
      <c r="C587" s="20"/>
    </row>
    <row r="588" spans="1:3" ht="12.75">
      <c r="A588" s="41"/>
      <c r="B588" s="21"/>
      <c r="C588" s="20"/>
    </row>
    <row r="589" spans="1:3" ht="12.75">
      <c r="A589" s="41"/>
      <c r="B589" s="19"/>
      <c r="C589" s="25"/>
    </row>
    <row r="590" spans="1:3" ht="12.75">
      <c r="A590" s="41"/>
      <c r="B590" s="22"/>
      <c r="C590" s="23"/>
    </row>
    <row r="591" spans="1:3" ht="12.75">
      <c r="A591" s="41"/>
      <c r="B591" s="22"/>
      <c r="C591" s="23"/>
    </row>
    <row r="592" spans="1:3" ht="15.75">
      <c r="A592" s="41"/>
      <c r="B592" s="27"/>
      <c r="C592" s="28"/>
    </row>
    <row r="593" spans="1:3" ht="15.75">
      <c r="A593" s="41"/>
      <c r="B593" s="27"/>
      <c r="C593" s="28"/>
    </row>
    <row r="594" spans="1:3" ht="12.75">
      <c r="A594" s="41"/>
      <c r="B594" s="22"/>
      <c r="C594" s="20"/>
    </row>
    <row r="595" spans="1:3" ht="15.75">
      <c r="A595" s="45"/>
      <c r="B595" s="27"/>
      <c r="C595" s="20"/>
    </row>
    <row r="596" spans="1:3" ht="15.75">
      <c r="A596" s="45"/>
      <c r="B596" s="27"/>
      <c r="C596" s="20"/>
    </row>
    <row r="597" spans="1:3" ht="12.75">
      <c r="A597" s="41"/>
      <c r="B597" s="21"/>
      <c r="C597" s="20"/>
    </row>
    <row r="598" spans="1:3" ht="12.75">
      <c r="A598" s="41"/>
      <c r="B598" s="21"/>
      <c r="C598" s="20"/>
    </row>
    <row r="599" spans="1:3" ht="12.75">
      <c r="A599" s="41"/>
      <c r="B599" s="21"/>
      <c r="C599" s="20"/>
    </row>
    <row r="600" spans="1:3" ht="12.75">
      <c r="A600" s="41"/>
      <c r="B600" s="21"/>
      <c r="C600" s="20"/>
    </row>
    <row r="601" spans="1:3" ht="15.75">
      <c r="A601" s="41"/>
      <c r="B601" s="27"/>
      <c r="C601" s="28"/>
    </row>
    <row r="602" spans="1:3" ht="15.75">
      <c r="A602" s="41"/>
      <c r="B602" s="27"/>
      <c r="C602" s="28"/>
    </row>
    <row r="603" spans="1:3" ht="12.75">
      <c r="A603" s="41"/>
      <c r="B603" s="22"/>
      <c r="C603" s="20"/>
    </row>
    <row r="604" spans="1:3" ht="15.75">
      <c r="A604" s="45"/>
      <c r="B604" s="27"/>
      <c r="C604" s="20"/>
    </row>
    <row r="605" spans="1:3" ht="12.75">
      <c r="A605" s="42"/>
      <c r="B605" s="22"/>
      <c r="C605" s="20"/>
    </row>
    <row r="606" spans="1:3" ht="12.75">
      <c r="A606" s="41"/>
      <c r="B606" s="21"/>
      <c r="C606" s="20"/>
    </row>
    <row r="607" spans="1:3" ht="12.75">
      <c r="A607" s="41"/>
      <c r="B607" s="21"/>
      <c r="C607" s="20"/>
    </row>
    <row r="608" spans="1:3" ht="12.75">
      <c r="A608" s="41"/>
      <c r="B608" s="21"/>
      <c r="C608" s="20"/>
    </row>
    <row r="609" spans="1:3" ht="12.75">
      <c r="A609" s="41"/>
      <c r="B609" s="21"/>
      <c r="C609" s="20"/>
    </row>
    <row r="610" spans="1:3" ht="12.75">
      <c r="A610" s="41"/>
      <c r="B610" s="21"/>
      <c r="C610" s="20"/>
    </row>
    <row r="611" spans="1:3" ht="12.75">
      <c r="A611" s="41"/>
      <c r="B611" s="21"/>
      <c r="C611" s="20"/>
    </row>
    <row r="612" spans="1:3" ht="12.75">
      <c r="A612" s="41"/>
      <c r="B612" s="21"/>
      <c r="C612" s="20"/>
    </row>
    <row r="613" spans="1:3" ht="12.75">
      <c r="A613" s="41"/>
      <c r="B613" s="21"/>
      <c r="C613" s="20"/>
    </row>
    <row r="614" spans="1:3" ht="12.75">
      <c r="A614" s="41"/>
      <c r="B614" s="21"/>
      <c r="C614" s="20"/>
    </row>
    <row r="615" spans="1:3" ht="12.75">
      <c r="A615" s="41"/>
      <c r="B615" s="21"/>
      <c r="C615" s="20"/>
    </row>
    <row r="616" spans="1:3" ht="12.75">
      <c r="A616" s="41"/>
      <c r="B616" s="21"/>
      <c r="C616" s="20"/>
    </row>
    <row r="617" spans="1:3" ht="12.75">
      <c r="A617" s="41"/>
      <c r="B617" s="21"/>
      <c r="C617" s="25"/>
    </row>
    <row r="618" spans="1:3" ht="12.75">
      <c r="A618" s="41"/>
      <c r="B618" s="19"/>
      <c r="C618" s="25"/>
    </row>
    <row r="619" spans="1:3" ht="12.75">
      <c r="A619" s="41"/>
      <c r="B619" s="21"/>
      <c r="C619" s="25"/>
    </row>
    <row r="620" spans="1:3" ht="12.75">
      <c r="A620" s="41"/>
      <c r="B620" s="44"/>
      <c r="C620" s="25"/>
    </row>
    <row r="621" spans="1:3" ht="12.75">
      <c r="A621" s="41"/>
      <c r="B621" s="21"/>
      <c r="C621" s="25"/>
    </row>
    <row r="622" spans="1:3" ht="15.75">
      <c r="A622" s="41"/>
      <c r="B622" s="27"/>
      <c r="C622" s="28"/>
    </row>
    <row r="623" spans="1:3" ht="15.75">
      <c r="A623" s="41"/>
      <c r="B623" s="27"/>
      <c r="C623" s="28"/>
    </row>
    <row r="624" spans="1:3" ht="15.75">
      <c r="A624" s="41"/>
      <c r="B624" s="27"/>
      <c r="C624" s="28"/>
    </row>
    <row r="625" spans="1:3" ht="15.75">
      <c r="A625" s="45"/>
      <c r="B625" s="27"/>
      <c r="C625" s="20"/>
    </row>
    <row r="626" spans="1:3" ht="12.75">
      <c r="A626" s="42"/>
      <c r="B626" s="22"/>
      <c r="C626" s="20"/>
    </row>
    <row r="627" spans="1:3" ht="12.75">
      <c r="A627" s="41"/>
      <c r="B627" s="21"/>
      <c r="C627" s="20"/>
    </row>
    <row r="628" spans="1:3" ht="12.75">
      <c r="A628" s="41"/>
      <c r="B628" s="21"/>
      <c r="C628" s="20"/>
    </row>
    <row r="629" spans="1:3" ht="12.75">
      <c r="A629" s="41"/>
      <c r="B629" s="21"/>
      <c r="C629" s="20"/>
    </row>
    <row r="630" spans="1:3" ht="12.75">
      <c r="A630" s="41"/>
      <c r="B630" s="21"/>
      <c r="C630" s="20"/>
    </row>
    <row r="631" spans="1:3" ht="12.75">
      <c r="A631" s="41"/>
      <c r="B631" s="21"/>
      <c r="C631" s="20"/>
    </row>
    <row r="632" spans="1:3" ht="12.75">
      <c r="A632" s="41"/>
      <c r="B632" s="21"/>
      <c r="C632" s="20"/>
    </row>
    <row r="633" spans="1:3" ht="15.75">
      <c r="A633" s="41"/>
      <c r="B633" s="27"/>
      <c r="C633" s="28"/>
    </row>
    <row r="634" spans="1:3" ht="15.75">
      <c r="A634" s="41"/>
      <c r="B634" s="27"/>
      <c r="C634" s="28"/>
    </row>
    <row r="635" spans="1:3" ht="12.75">
      <c r="A635" s="41"/>
      <c r="B635" s="22"/>
      <c r="C635" s="20"/>
    </row>
    <row r="636" spans="1:3" ht="15.75">
      <c r="A636" s="45"/>
      <c r="B636" s="27"/>
      <c r="C636" s="20"/>
    </row>
    <row r="637" spans="1:3" ht="15.75">
      <c r="A637" s="45"/>
      <c r="B637" s="27"/>
      <c r="C637" s="20"/>
    </row>
    <row r="638" spans="1:3" ht="15.75">
      <c r="A638" s="45"/>
      <c r="B638" s="27"/>
      <c r="C638" s="20"/>
    </row>
    <row r="639" spans="1:3" ht="12.75">
      <c r="A639" s="41"/>
      <c r="B639" s="21"/>
      <c r="C639" s="20"/>
    </row>
    <row r="640" spans="1:3" ht="12.75">
      <c r="A640" s="41"/>
      <c r="B640" s="21"/>
      <c r="C640" s="20"/>
    </row>
    <row r="641" spans="1:3" ht="15.75">
      <c r="A641" s="45"/>
      <c r="B641" s="22"/>
      <c r="C641" s="23"/>
    </row>
    <row r="642" spans="1:3" ht="15.75">
      <c r="A642" s="45"/>
      <c r="B642" s="27"/>
      <c r="C642" s="20"/>
    </row>
    <row r="643" spans="1:3" ht="12.75">
      <c r="A643" s="42"/>
      <c r="B643" s="22"/>
      <c r="C643" s="20"/>
    </row>
    <row r="644" spans="1:3" ht="12.75">
      <c r="A644" s="41"/>
      <c r="B644" s="21"/>
      <c r="C644" s="20"/>
    </row>
    <row r="645" spans="1:3" ht="12.75">
      <c r="A645" s="41"/>
      <c r="B645" s="21"/>
      <c r="C645" s="20"/>
    </row>
    <row r="646" spans="1:3" ht="12.75">
      <c r="A646" s="41"/>
      <c r="B646" s="21"/>
      <c r="C646" s="20"/>
    </row>
    <row r="647" spans="1:3" ht="12.75">
      <c r="A647" s="41"/>
      <c r="B647" s="21"/>
      <c r="C647" s="20"/>
    </row>
    <row r="648" spans="1:3" ht="12.75">
      <c r="A648" s="41"/>
      <c r="B648" s="21"/>
      <c r="C648" s="20"/>
    </row>
    <row r="649" spans="1:3" ht="12.75">
      <c r="A649" s="41"/>
      <c r="B649" s="21"/>
      <c r="C649" s="20"/>
    </row>
    <row r="650" spans="1:3" ht="12.75">
      <c r="A650" s="41"/>
      <c r="B650" s="21"/>
      <c r="C650" s="20"/>
    </row>
    <row r="651" spans="1:3" ht="12.75">
      <c r="A651" s="41"/>
      <c r="B651" s="21"/>
      <c r="C651" s="20"/>
    </row>
    <row r="652" spans="1:3" ht="12.75">
      <c r="A652" s="41"/>
      <c r="B652" s="21"/>
      <c r="C652" s="20"/>
    </row>
    <row r="653" spans="1:3" ht="12.75">
      <c r="A653" s="41"/>
      <c r="B653" s="21"/>
      <c r="C653" s="20"/>
    </row>
    <row r="654" spans="1:3" ht="12.75">
      <c r="A654" s="41"/>
      <c r="B654" s="21"/>
      <c r="C654" s="20"/>
    </row>
    <row r="655" spans="1:3" ht="12.75">
      <c r="A655" s="41"/>
      <c r="B655" s="21"/>
      <c r="C655" s="20"/>
    </row>
    <row r="656" spans="1:3" ht="12.75">
      <c r="A656" s="41"/>
      <c r="B656" s="21"/>
      <c r="C656" s="20"/>
    </row>
    <row r="657" spans="1:3" ht="12.75">
      <c r="A657" s="41"/>
      <c r="B657" s="21"/>
      <c r="C657" s="25"/>
    </row>
    <row r="658" spans="1:3" ht="12.75">
      <c r="A658" s="41"/>
      <c r="B658" s="21"/>
      <c r="C658" s="25"/>
    </row>
    <row r="659" spans="1:3" ht="12.75">
      <c r="A659" s="41"/>
      <c r="B659" s="21"/>
      <c r="C659" s="25"/>
    </row>
    <row r="660" spans="1:3" ht="12.75">
      <c r="A660" s="41"/>
      <c r="B660" s="21"/>
      <c r="C660" s="25"/>
    </row>
    <row r="661" spans="1:3" ht="12.75">
      <c r="A661" s="41"/>
      <c r="B661" s="21"/>
      <c r="C661" s="20"/>
    </row>
    <row r="662" spans="1:3" ht="12.75">
      <c r="A662" s="41"/>
      <c r="B662" s="21"/>
      <c r="C662" s="25"/>
    </row>
    <row r="663" spans="1:3" ht="12.75">
      <c r="A663" s="41"/>
      <c r="B663" s="21"/>
      <c r="C663" s="25"/>
    </row>
    <row r="664" spans="1:3" ht="12.75">
      <c r="A664" s="41"/>
      <c r="B664" s="19"/>
      <c r="C664" s="25"/>
    </row>
    <row r="665" spans="1:3" ht="12.75">
      <c r="A665" s="41"/>
      <c r="B665" s="21"/>
      <c r="C665" s="25"/>
    </row>
    <row r="666" spans="1:3" ht="12.75">
      <c r="A666" s="41"/>
      <c r="B666" s="21"/>
      <c r="C666" s="25"/>
    </row>
    <row r="667" spans="1:3" ht="12.75">
      <c r="A667" s="41"/>
      <c r="B667" s="21"/>
      <c r="C667" s="25"/>
    </row>
    <row r="668" spans="1:3" ht="12.75">
      <c r="A668" s="41"/>
      <c r="B668" s="19"/>
      <c r="C668" s="25"/>
    </row>
    <row r="669" spans="1:3" ht="12.75">
      <c r="A669" s="41"/>
      <c r="B669" s="21"/>
      <c r="C669" s="25"/>
    </row>
    <row r="670" spans="1:3" ht="12.75">
      <c r="A670" s="41"/>
      <c r="B670" s="19"/>
      <c r="C670" s="25"/>
    </row>
    <row r="671" spans="1:3" ht="12.75">
      <c r="A671" s="41"/>
      <c r="B671" s="21"/>
      <c r="C671" s="25"/>
    </row>
    <row r="672" spans="1:3" ht="12.75">
      <c r="A672" s="41"/>
      <c r="B672" s="21"/>
      <c r="C672" s="25"/>
    </row>
    <row r="673" spans="1:3" ht="12.75">
      <c r="A673" s="41"/>
      <c r="B673" s="21"/>
      <c r="C673" s="25"/>
    </row>
    <row r="674" spans="1:3" ht="12.75">
      <c r="A674" s="41"/>
      <c r="B674" s="21"/>
      <c r="C674" s="25"/>
    </row>
    <row r="675" spans="1:3" ht="12.75">
      <c r="A675" s="41"/>
      <c r="B675" s="43"/>
      <c r="C675" s="25"/>
    </row>
    <row r="676" spans="1:3" ht="12.75">
      <c r="A676" s="41"/>
      <c r="B676" s="22"/>
      <c r="C676" s="26"/>
    </row>
    <row r="677" spans="1:3" ht="12.75">
      <c r="A677" s="41"/>
      <c r="B677" s="21"/>
      <c r="C677" s="25"/>
    </row>
    <row r="678" spans="1:3" ht="15.75">
      <c r="A678" s="41"/>
      <c r="B678" s="27"/>
      <c r="C678" s="28"/>
    </row>
    <row r="679" spans="1:3" ht="12.75">
      <c r="A679" s="41"/>
      <c r="B679" s="21"/>
      <c r="C679" s="20"/>
    </row>
    <row r="680" spans="1:3" ht="12.75">
      <c r="A680" s="41"/>
      <c r="B680" s="22"/>
      <c r="C680" s="20"/>
    </row>
    <row r="681" spans="1:3" ht="15.75">
      <c r="A681" s="45"/>
      <c r="B681" s="27"/>
      <c r="C681" s="20"/>
    </row>
    <row r="682" spans="1:3" ht="12.75">
      <c r="A682" s="42"/>
      <c r="B682" s="22"/>
      <c r="C682" s="20"/>
    </row>
    <row r="683" spans="1:3" ht="12.75">
      <c r="A683" s="42"/>
      <c r="B683" s="22"/>
      <c r="C683" s="20"/>
    </row>
    <row r="684" spans="1:3" ht="12.75">
      <c r="A684" s="41"/>
      <c r="B684" s="21"/>
      <c r="C684" s="20"/>
    </row>
    <row r="685" spans="1:3" ht="12.75">
      <c r="A685" s="41"/>
      <c r="B685" s="21"/>
      <c r="C685" s="20"/>
    </row>
    <row r="686" spans="1:3" ht="12.75">
      <c r="A686" s="41"/>
      <c r="B686" s="21"/>
      <c r="C686" s="20"/>
    </row>
    <row r="687" spans="1:3" ht="12.75">
      <c r="A687" s="41"/>
      <c r="B687" s="21"/>
      <c r="C687" s="20"/>
    </row>
    <row r="688" spans="1:3" ht="12.75">
      <c r="A688" s="41"/>
      <c r="B688" s="21"/>
      <c r="C688" s="20"/>
    </row>
    <row r="689" spans="1:3" ht="12.75">
      <c r="A689" s="41"/>
      <c r="B689" s="22"/>
      <c r="C689" s="23"/>
    </row>
    <row r="690" spans="1:3" ht="12.75">
      <c r="A690" s="41"/>
      <c r="B690" s="21"/>
      <c r="C690" s="20"/>
    </row>
    <row r="691" spans="1:3" ht="12.75">
      <c r="A691" s="42"/>
      <c r="B691" s="22"/>
      <c r="C691" s="20"/>
    </row>
    <row r="692" spans="1:3" ht="12.75">
      <c r="A692" s="41"/>
      <c r="B692" s="21"/>
      <c r="C692" s="20"/>
    </row>
    <row r="693" spans="1:3" ht="12.75">
      <c r="A693" s="41"/>
      <c r="B693" s="21"/>
      <c r="C693" s="20"/>
    </row>
    <row r="694" spans="1:3" ht="12.75">
      <c r="A694" s="41"/>
      <c r="B694" s="21"/>
      <c r="C694" s="20"/>
    </row>
    <row r="695" spans="1:3" ht="12.75">
      <c r="A695" s="41"/>
      <c r="B695" s="21"/>
      <c r="C695" s="20"/>
    </row>
    <row r="696" spans="1:3" ht="12.75">
      <c r="A696" s="41"/>
      <c r="B696" s="21"/>
      <c r="C696" s="20"/>
    </row>
    <row r="697" spans="1:3" ht="12.75">
      <c r="A697" s="41"/>
      <c r="B697" s="21"/>
      <c r="C697" s="20"/>
    </row>
    <row r="698" spans="1:3" ht="12.75">
      <c r="A698" s="41"/>
      <c r="B698" s="21"/>
      <c r="C698" s="20"/>
    </row>
    <row r="699" spans="1:3" ht="12.75">
      <c r="A699" s="41"/>
      <c r="B699" s="21"/>
      <c r="C699" s="20"/>
    </row>
    <row r="700" spans="1:3" ht="12.75">
      <c r="A700" s="41"/>
      <c r="B700" s="22"/>
      <c r="C700" s="23"/>
    </row>
    <row r="701" spans="1:3" ht="12.75">
      <c r="A701" s="41"/>
      <c r="B701" s="21"/>
      <c r="C701" s="20"/>
    </row>
    <row r="702" spans="1:3" ht="12.75">
      <c r="A702" s="42"/>
      <c r="B702" s="22"/>
      <c r="C702" s="20"/>
    </row>
    <row r="703" spans="1:3" ht="12.75">
      <c r="A703" s="41"/>
      <c r="B703" s="21"/>
      <c r="C703" s="20"/>
    </row>
    <row r="704" spans="1:3" ht="12.75">
      <c r="A704" s="41"/>
      <c r="B704" s="21"/>
      <c r="C704" s="25"/>
    </row>
    <row r="705" spans="1:3" ht="12.75">
      <c r="A705" s="41"/>
      <c r="B705" s="21"/>
      <c r="C705" s="25"/>
    </row>
    <row r="706" spans="1:3" ht="12.75">
      <c r="A706" s="41"/>
      <c r="B706" s="21"/>
      <c r="C706" s="25"/>
    </row>
    <row r="707" spans="1:3" ht="12.75">
      <c r="A707" s="41"/>
      <c r="B707" s="21"/>
      <c r="C707" s="25"/>
    </row>
    <row r="708" spans="1:3" ht="12.75">
      <c r="A708" s="41"/>
      <c r="B708" s="22"/>
      <c r="C708" s="23"/>
    </row>
    <row r="709" spans="1:3" ht="12.75">
      <c r="A709" s="41"/>
      <c r="B709" s="21"/>
      <c r="C709" s="20"/>
    </row>
    <row r="710" spans="1:3" ht="12.75">
      <c r="A710" s="42"/>
      <c r="B710" s="22"/>
      <c r="C710" s="20"/>
    </row>
    <row r="711" spans="1:3" ht="12.75">
      <c r="A711" s="41"/>
      <c r="B711" s="21"/>
      <c r="C711" s="20"/>
    </row>
    <row r="712" spans="1:3" ht="12.75">
      <c r="A712" s="41"/>
      <c r="B712" s="21"/>
      <c r="C712" s="20"/>
    </row>
    <row r="713" spans="1:3" ht="12.75">
      <c r="A713" s="41"/>
      <c r="B713" s="21"/>
      <c r="C713" s="20"/>
    </row>
    <row r="714" spans="1:3" ht="12.75">
      <c r="A714" s="41"/>
      <c r="B714" s="22"/>
      <c r="C714" s="23"/>
    </row>
    <row r="715" spans="1:3" ht="12.75">
      <c r="A715" s="41"/>
      <c r="B715" s="22"/>
      <c r="C715" s="23"/>
    </row>
    <row r="716" spans="1:3" ht="15.75">
      <c r="A716" s="41"/>
      <c r="B716" s="27"/>
      <c r="C716" s="28"/>
    </row>
    <row r="717" spans="1:3" ht="15.75">
      <c r="A717" s="41"/>
      <c r="B717" s="27"/>
      <c r="C717" s="28"/>
    </row>
    <row r="718" spans="1:3" ht="15.75">
      <c r="A718" s="45"/>
      <c r="B718" s="27"/>
      <c r="C718" s="28"/>
    </row>
    <row r="719" spans="1:3" ht="12.75">
      <c r="A719" s="41"/>
      <c r="B719" s="22"/>
      <c r="C719" s="20"/>
    </row>
    <row r="720" spans="1:3" ht="12.75">
      <c r="A720" s="42"/>
      <c r="B720" s="22"/>
      <c r="C720" s="20"/>
    </row>
    <row r="721" spans="1:3" ht="12.75">
      <c r="A721" s="41"/>
      <c r="B721" s="19"/>
      <c r="C721" s="20"/>
    </row>
    <row r="722" spans="1:3" ht="12.75">
      <c r="A722" s="41"/>
      <c r="B722" s="19"/>
      <c r="C722" s="20"/>
    </row>
    <row r="723" spans="1:3" ht="12.75">
      <c r="A723" s="41"/>
      <c r="B723" s="19"/>
      <c r="C723" s="20"/>
    </row>
    <row r="724" spans="1:3" ht="12.75">
      <c r="A724" s="41"/>
      <c r="B724" s="19"/>
      <c r="C724" s="20"/>
    </row>
    <row r="725" spans="1:3" ht="12.75">
      <c r="A725" s="41"/>
      <c r="B725" s="19"/>
      <c r="C725" s="20"/>
    </row>
    <row r="726" spans="1:3" ht="12.75">
      <c r="A726" s="41"/>
      <c r="B726" s="19"/>
      <c r="C726" s="20"/>
    </row>
    <row r="727" spans="1:3" ht="12.75">
      <c r="A727" s="41"/>
      <c r="B727" s="19"/>
      <c r="C727" s="20"/>
    </row>
    <row r="728" spans="1:3" ht="12.75">
      <c r="A728" s="41"/>
      <c r="B728" s="19"/>
      <c r="C728" s="20"/>
    </row>
    <row r="729" spans="1:3" ht="12.75">
      <c r="A729" s="41"/>
      <c r="B729" s="19"/>
      <c r="C729" s="20"/>
    </row>
    <row r="730" spans="1:3" ht="12.75">
      <c r="A730" s="41"/>
      <c r="B730" s="19"/>
      <c r="C730" s="20"/>
    </row>
    <row r="731" spans="1:3" ht="12.75">
      <c r="A731" s="41"/>
      <c r="B731" s="19"/>
      <c r="C731" s="20"/>
    </row>
    <row r="732" spans="1:3" ht="12.75">
      <c r="A732" s="41"/>
      <c r="B732" s="19"/>
      <c r="C732" s="20"/>
    </row>
    <row r="733" spans="1:3" ht="12.75">
      <c r="A733" s="41"/>
      <c r="B733" s="19"/>
      <c r="C733" s="20"/>
    </row>
    <row r="734" spans="1:3" ht="12.75">
      <c r="A734" s="41"/>
      <c r="B734" s="19"/>
      <c r="C734" s="20"/>
    </row>
    <row r="735" spans="1:3" ht="12.75">
      <c r="A735" s="41"/>
      <c r="B735" s="19"/>
      <c r="C735" s="20"/>
    </row>
    <row r="736" spans="1:3" ht="12.75">
      <c r="A736" s="41"/>
      <c r="B736" s="19"/>
      <c r="C736" s="20"/>
    </row>
    <row r="737" spans="1:3" ht="12.75">
      <c r="A737" s="41"/>
      <c r="B737" s="43"/>
      <c r="C737" s="20"/>
    </row>
    <row r="738" spans="1:3" ht="12.75">
      <c r="A738" s="41"/>
      <c r="B738" s="22"/>
      <c r="C738" s="23"/>
    </row>
    <row r="739" spans="1:3" ht="12.75">
      <c r="A739" s="41"/>
      <c r="B739" s="22"/>
      <c r="C739" s="20"/>
    </row>
    <row r="740" spans="1:3" ht="12.75">
      <c r="A740" s="42"/>
      <c r="B740" s="22"/>
      <c r="C740" s="20"/>
    </row>
    <row r="741" spans="1:3" ht="12.75">
      <c r="A741" s="42"/>
      <c r="B741" s="22"/>
      <c r="C741" s="20"/>
    </row>
    <row r="742" spans="1:3" ht="12.75">
      <c r="A742" s="41"/>
      <c r="B742" s="21"/>
      <c r="C742" s="20"/>
    </row>
    <row r="743" spans="1:3" ht="12.75">
      <c r="A743" s="41"/>
      <c r="B743" s="21"/>
      <c r="C743" s="20"/>
    </row>
    <row r="744" spans="1:3" ht="12.75">
      <c r="A744" s="41"/>
      <c r="B744" s="21"/>
      <c r="C744" s="20"/>
    </row>
    <row r="745" spans="1:3" ht="12.75">
      <c r="A745" s="41"/>
      <c r="B745" s="21"/>
      <c r="C745" s="20"/>
    </row>
    <row r="746" spans="1:3" ht="12.75">
      <c r="A746" s="41"/>
      <c r="B746" s="21"/>
      <c r="C746" s="20"/>
    </row>
    <row r="747" spans="1:3" ht="12.75">
      <c r="A747" s="41"/>
      <c r="B747" s="21"/>
      <c r="C747" s="20"/>
    </row>
    <row r="748" spans="1:3" ht="12.75">
      <c r="A748" s="41"/>
      <c r="B748" s="21"/>
      <c r="C748" s="25"/>
    </row>
    <row r="749" spans="1:3" ht="12.75">
      <c r="A749" s="41"/>
      <c r="B749" s="21"/>
      <c r="C749" s="25"/>
    </row>
    <row r="750" spans="1:3" ht="12.75">
      <c r="A750" s="41"/>
      <c r="B750" s="21"/>
      <c r="C750" s="25"/>
    </row>
    <row r="751" spans="1:3" ht="12.75">
      <c r="A751" s="41"/>
      <c r="B751" s="21"/>
      <c r="C751" s="25"/>
    </row>
    <row r="752" spans="1:3" ht="12.75">
      <c r="A752" s="41"/>
      <c r="B752" s="22"/>
      <c r="C752" s="23"/>
    </row>
    <row r="753" spans="1:3" ht="12.75">
      <c r="A753" s="41"/>
      <c r="B753" s="21"/>
      <c r="C753" s="20"/>
    </row>
    <row r="754" spans="1:3" ht="12.75">
      <c r="A754" s="42"/>
      <c r="B754" s="22"/>
      <c r="C754" s="20"/>
    </row>
    <row r="755" spans="1:3" ht="12.75">
      <c r="A755" s="41"/>
      <c r="B755" s="21"/>
      <c r="C755" s="25"/>
    </row>
    <row r="756" spans="1:3" ht="12.75">
      <c r="A756" s="41"/>
      <c r="B756" s="21"/>
      <c r="C756" s="25"/>
    </row>
    <row r="757" spans="1:3" ht="12.75">
      <c r="A757" s="41"/>
      <c r="B757" s="21"/>
      <c r="C757" s="25"/>
    </row>
    <row r="758" spans="1:3" ht="12.75">
      <c r="A758" s="41"/>
      <c r="B758" s="21"/>
      <c r="C758" s="25"/>
    </row>
    <row r="759" spans="1:3" ht="12.75">
      <c r="A759" s="41"/>
      <c r="B759" s="21"/>
      <c r="C759" s="20"/>
    </row>
    <row r="760" spans="1:3" ht="12.75">
      <c r="A760" s="41"/>
      <c r="B760" s="21"/>
      <c r="C760" s="20"/>
    </row>
    <row r="761" spans="1:3" ht="12.75">
      <c r="A761" s="41"/>
      <c r="B761" s="21"/>
      <c r="C761" s="20"/>
    </row>
    <row r="762" spans="1:3" ht="12.75">
      <c r="A762" s="41"/>
      <c r="B762" s="46"/>
      <c r="C762" s="23"/>
    </row>
    <row r="763" spans="1:3" ht="12.75">
      <c r="A763" s="41"/>
      <c r="B763" s="21"/>
      <c r="C763" s="20"/>
    </row>
    <row r="764" spans="1:3" ht="15.75">
      <c r="A764" s="41"/>
      <c r="B764" s="47"/>
      <c r="C764" s="28"/>
    </row>
    <row r="765" spans="1:3" ht="15.75">
      <c r="A765" s="41"/>
      <c r="B765" s="48"/>
      <c r="C765" s="28"/>
    </row>
    <row r="766" spans="1:3" ht="12.75">
      <c r="A766" s="41"/>
      <c r="B766" s="22"/>
      <c r="C766" s="20"/>
    </row>
    <row r="767" spans="1:3" ht="15.75">
      <c r="A767" s="45"/>
      <c r="B767" s="27"/>
      <c r="C767" s="20"/>
    </row>
    <row r="768" spans="1:3" ht="12.75">
      <c r="A768" s="42"/>
      <c r="B768" s="22"/>
      <c r="C768" s="20"/>
    </row>
    <row r="769" spans="1:3" ht="12.75">
      <c r="A769" s="42"/>
      <c r="B769" s="22"/>
      <c r="C769" s="20"/>
    </row>
    <row r="770" spans="1:3" ht="12.75">
      <c r="A770" s="41"/>
      <c r="B770" s="21"/>
      <c r="C770" s="20"/>
    </row>
    <row r="771" spans="1:3" ht="12.75">
      <c r="A771" s="41"/>
      <c r="B771" s="21"/>
      <c r="C771" s="20"/>
    </row>
    <row r="772" spans="1:3" ht="12.75">
      <c r="A772" s="41"/>
      <c r="B772" s="21"/>
      <c r="C772" s="20"/>
    </row>
    <row r="773" spans="1:3" ht="12.75">
      <c r="A773" s="41"/>
      <c r="B773" s="21"/>
      <c r="C773" s="20"/>
    </row>
    <row r="774" spans="1:3" ht="12.75">
      <c r="A774" s="41"/>
      <c r="B774" s="21"/>
      <c r="C774" s="20"/>
    </row>
    <row r="775" spans="1:3" ht="12.75">
      <c r="A775" s="41"/>
      <c r="B775" s="21"/>
      <c r="C775" s="20"/>
    </row>
    <row r="776" spans="1:3" ht="12.75">
      <c r="A776" s="41"/>
      <c r="B776" s="22"/>
      <c r="C776" s="23"/>
    </row>
    <row r="777" spans="1:3" ht="12.75">
      <c r="A777" s="41"/>
      <c r="B777" s="21"/>
      <c r="C777" s="20"/>
    </row>
    <row r="778" spans="1:3" ht="12.75">
      <c r="A778" s="42"/>
      <c r="B778" s="22"/>
      <c r="C778" s="20"/>
    </row>
    <row r="779" spans="1:3" ht="12.75">
      <c r="A779" s="41"/>
      <c r="B779" s="21"/>
      <c r="C779" s="20"/>
    </row>
    <row r="780" spans="1:3" ht="12.75">
      <c r="A780" s="41"/>
      <c r="B780" s="21"/>
      <c r="C780" s="20"/>
    </row>
    <row r="781" spans="1:3" ht="12.75">
      <c r="A781" s="41"/>
      <c r="B781" s="21"/>
      <c r="C781" s="20"/>
    </row>
    <row r="782" spans="1:3" ht="12.75">
      <c r="A782" s="41"/>
      <c r="B782" s="21"/>
      <c r="C782" s="20"/>
    </row>
    <row r="783" spans="1:3" ht="12.75">
      <c r="A783" s="41"/>
      <c r="B783" s="21"/>
      <c r="C783" s="20"/>
    </row>
    <row r="784" spans="1:3" ht="12.75">
      <c r="A784" s="41"/>
      <c r="B784" s="21"/>
      <c r="C784" s="20"/>
    </row>
    <row r="785" spans="1:3" ht="12.75">
      <c r="A785" s="41"/>
      <c r="B785" s="21"/>
      <c r="C785" s="20"/>
    </row>
    <row r="786" spans="1:3" ht="12.75">
      <c r="A786" s="41"/>
      <c r="B786" s="21"/>
      <c r="C786" s="20"/>
    </row>
    <row r="787" spans="1:3" ht="12.75">
      <c r="A787" s="41"/>
      <c r="B787" s="21"/>
      <c r="C787" s="20"/>
    </row>
    <row r="788" spans="1:3" ht="12.75">
      <c r="A788" s="41"/>
      <c r="B788" s="21"/>
      <c r="C788" s="20"/>
    </row>
    <row r="789" spans="1:3" ht="12.75">
      <c r="A789" s="41"/>
      <c r="B789" s="21"/>
      <c r="C789" s="20"/>
    </row>
    <row r="790" spans="1:3" ht="12.75">
      <c r="A790" s="41"/>
      <c r="B790" s="22"/>
      <c r="C790" s="23"/>
    </row>
    <row r="791" spans="1:3" ht="12.75">
      <c r="A791" s="41"/>
      <c r="B791" s="21"/>
      <c r="C791" s="20"/>
    </row>
    <row r="792" spans="1:3" ht="15.75">
      <c r="A792" s="41"/>
      <c r="B792" s="27"/>
      <c r="C792" s="28"/>
    </row>
    <row r="793" spans="1:3" ht="15.75">
      <c r="A793" s="41"/>
      <c r="B793" s="27"/>
      <c r="C793" s="28"/>
    </row>
    <row r="794" spans="1:3" ht="12.75">
      <c r="A794" s="41"/>
      <c r="B794" s="22"/>
      <c r="C794" s="20"/>
    </row>
    <row r="795" spans="1:3" ht="15.75">
      <c r="A795" s="45"/>
      <c r="B795" s="27"/>
      <c r="C795" s="20"/>
    </row>
    <row r="796" spans="1:3" ht="12.75">
      <c r="A796" s="42"/>
      <c r="B796" s="22"/>
      <c r="C796" s="20"/>
    </row>
    <row r="797" spans="1:3" ht="12.75">
      <c r="A797" s="42"/>
      <c r="B797" s="22"/>
      <c r="C797" s="20"/>
    </row>
    <row r="798" spans="1:3" ht="12.75">
      <c r="A798" s="41"/>
      <c r="B798" s="21"/>
      <c r="C798" s="20"/>
    </row>
    <row r="799" spans="1:3" ht="12.75">
      <c r="A799" s="41"/>
      <c r="B799" s="21"/>
      <c r="C799" s="20"/>
    </row>
    <row r="800" spans="1:3" ht="12.75">
      <c r="A800" s="41"/>
      <c r="B800" s="21"/>
      <c r="C800" s="20"/>
    </row>
    <row r="801" spans="1:3" ht="12.75">
      <c r="A801" s="41"/>
      <c r="B801" s="21"/>
      <c r="C801" s="20"/>
    </row>
    <row r="802" spans="1:3" ht="12.75">
      <c r="A802" s="41"/>
      <c r="B802" s="22"/>
      <c r="C802" s="23"/>
    </row>
    <row r="803" spans="1:3" ht="12.75">
      <c r="A803" s="41"/>
      <c r="B803" s="21"/>
      <c r="C803" s="20"/>
    </row>
    <row r="804" spans="1:3" ht="12.75">
      <c r="A804" s="42"/>
      <c r="B804" s="22"/>
      <c r="C804" s="20"/>
    </row>
    <row r="805" spans="1:3" ht="12.75">
      <c r="A805" s="41"/>
      <c r="B805" s="21"/>
      <c r="C805" s="20"/>
    </row>
    <row r="806" spans="1:3" ht="12.75">
      <c r="A806" s="41"/>
      <c r="B806" s="21"/>
      <c r="C806" s="20"/>
    </row>
    <row r="807" spans="1:3" ht="12.75">
      <c r="A807" s="41"/>
      <c r="B807" s="21"/>
      <c r="C807" s="20"/>
    </row>
    <row r="808" spans="1:3" ht="12.75">
      <c r="A808" s="41"/>
      <c r="B808" s="21"/>
      <c r="C808" s="20"/>
    </row>
    <row r="809" spans="1:3" ht="12.75">
      <c r="A809" s="41"/>
      <c r="B809" s="21"/>
      <c r="C809" s="20"/>
    </row>
    <row r="810" spans="1:3" ht="12.75">
      <c r="A810" s="41"/>
      <c r="B810" s="21"/>
      <c r="C810" s="20"/>
    </row>
    <row r="811" spans="1:3" ht="12.75">
      <c r="A811" s="41"/>
      <c r="B811" s="21"/>
      <c r="C811" s="20"/>
    </row>
    <row r="812" spans="1:3" ht="12.75">
      <c r="A812" s="41"/>
      <c r="B812" s="44"/>
      <c r="C812" s="20"/>
    </row>
    <row r="813" spans="1:3" ht="12.75">
      <c r="A813" s="41"/>
      <c r="B813" s="21"/>
      <c r="C813" s="20"/>
    </row>
    <row r="814" spans="1:3" ht="12.75">
      <c r="A814" s="41"/>
      <c r="B814" s="21"/>
      <c r="C814" s="20"/>
    </row>
    <row r="815" spans="1:3" ht="12.75">
      <c r="A815" s="41"/>
      <c r="B815" s="21"/>
      <c r="C815" s="20"/>
    </row>
    <row r="816" spans="1:3" ht="12.75">
      <c r="A816" s="41"/>
      <c r="B816" s="21"/>
      <c r="C816" s="20"/>
    </row>
    <row r="817" spans="1:3" ht="12.75">
      <c r="A817" s="41"/>
      <c r="B817" s="21"/>
      <c r="C817" s="20"/>
    </row>
    <row r="818" spans="1:3" ht="12.75">
      <c r="A818" s="41"/>
      <c r="B818" s="22"/>
      <c r="C818" s="23"/>
    </row>
    <row r="819" spans="1:3" ht="12.75">
      <c r="A819" s="41"/>
      <c r="B819" s="22"/>
      <c r="C819" s="23"/>
    </row>
    <row r="820" spans="1:3" ht="12.75">
      <c r="A820" s="42"/>
      <c r="B820" s="22"/>
      <c r="C820" s="23"/>
    </row>
    <row r="821" spans="1:3" ht="12.75">
      <c r="A821" s="41"/>
      <c r="B821" s="21"/>
      <c r="C821" s="20"/>
    </row>
    <row r="822" spans="1:3" ht="12.75">
      <c r="A822" s="41"/>
      <c r="B822" s="21"/>
      <c r="C822" s="20"/>
    </row>
    <row r="823" spans="1:3" ht="12.75">
      <c r="A823" s="41"/>
      <c r="B823" s="22"/>
      <c r="C823" s="23"/>
    </row>
    <row r="824" spans="1:3" ht="12.75">
      <c r="A824" s="42"/>
      <c r="B824" s="22"/>
      <c r="C824" s="23"/>
    </row>
    <row r="825" spans="1:3" ht="15.75">
      <c r="A825" s="41"/>
      <c r="B825" s="27"/>
      <c r="C825" s="28"/>
    </row>
    <row r="826" spans="1:3" ht="12.75">
      <c r="A826" s="41"/>
      <c r="B826" s="21"/>
      <c r="C826" s="20"/>
    </row>
    <row r="827" spans="1:3" ht="12.75">
      <c r="A827" s="41"/>
      <c r="B827" s="22"/>
      <c r="C827" s="23"/>
    </row>
    <row r="828" spans="1:3" ht="15.75">
      <c r="A828" s="45"/>
      <c r="B828" s="27"/>
      <c r="C828" s="20"/>
    </row>
    <row r="829" spans="1:3" ht="12.75">
      <c r="A829" s="42"/>
      <c r="B829" s="22"/>
      <c r="C829" s="20"/>
    </row>
    <row r="830" spans="1:3" ht="12.75">
      <c r="A830" s="41"/>
      <c r="B830" s="21"/>
      <c r="C830" s="20"/>
    </row>
    <row r="831" spans="1:3" ht="12.75">
      <c r="A831" s="41"/>
      <c r="B831" s="21"/>
      <c r="C831" s="20"/>
    </row>
    <row r="832" spans="1:3" ht="12.75">
      <c r="A832" s="41"/>
      <c r="B832" s="21"/>
      <c r="C832" s="20"/>
    </row>
    <row r="833" spans="1:3" ht="12.75">
      <c r="A833" s="41"/>
      <c r="B833" s="21"/>
      <c r="C833" s="25"/>
    </row>
    <row r="834" spans="1:3" ht="12.75">
      <c r="A834" s="41"/>
      <c r="B834" s="21"/>
      <c r="C834" s="25"/>
    </row>
    <row r="835" spans="1:3" ht="12.75">
      <c r="A835" s="41"/>
      <c r="B835" s="21"/>
      <c r="C835" s="20"/>
    </row>
    <row r="836" spans="1:3" ht="12.75">
      <c r="A836" s="41"/>
      <c r="B836" s="21"/>
      <c r="C836" s="20"/>
    </row>
    <row r="837" spans="1:3" ht="12.75">
      <c r="A837" s="41"/>
      <c r="B837" s="21"/>
      <c r="C837" s="20"/>
    </row>
    <row r="838" spans="1:3" ht="12.75">
      <c r="A838" s="41"/>
      <c r="B838" s="21"/>
      <c r="C838" s="20"/>
    </row>
    <row r="839" spans="1:3" ht="12.75">
      <c r="A839" s="41"/>
      <c r="B839" s="21"/>
      <c r="C839" s="20"/>
    </row>
    <row r="840" spans="1:3" ht="12.75">
      <c r="A840" s="41"/>
      <c r="B840" s="21"/>
      <c r="C840" s="20"/>
    </row>
    <row r="841" spans="1:3" ht="12.75">
      <c r="A841" s="41"/>
      <c r="B841" s="21"/>
      <c r="C841" s="20"/>
    </row>
    <row r="842" spans="1:3" ht="12.75">
      <c r="A842" s="41"/>
      <c r="B842" s="21"/>
      <c r="C842" s="20"/>
    </row>
    <row r="843" spans="1:3" ht="12.75">
      <c r="A843" s="41"/>
      <c r="B843" s="21"/>
      <c r="C843" s="20"/>
    </row>
    <row r="844" spans="1:3" ht="12.75">
      <c r="A844" s="41"/>
      <c r="B844" s="21"/>
      <c r="C844" s="20"/>
    </row>
    <row r="845" spans="1:3" ht="12.75">
      <c r="A845" s="41"/>
      <c r="B845" s="21"/>
      <c r="C845" s="20"/>
    </row>
    <row r="846" spans="1:3" ht="15.75">
      <c r="A846" s="41"/>
      <c r="B846" s="27"/>
      <c r="C846" s="28"/>
    </row>
    <row r="847" spans="1:3" ht="12.75">
      <c r="A847" s="41"/>
      <c r="B847" s="22"/>
      <c r="C847" s="23"/>
    </row>
    <row r="848" spans="1:3" ht="12.75">
      <c r="A848" s="41"/>
      <c r="B848" s="22"/>
      <c r="C848" s="20"/>
    </row>
    <row r="849" spans="1:3" ht="15.75">
      <c r="A849" s="45"/>
      <c r="B849" s="27"/>
      <c r="C849" s="20"/>
    </row>
    <row r="850" spans="1:3" ht="12.75">
      <c r="A850" s="42"/>
      <c r="B850" s="22"/>
      <c r="C850" s="20"/>
    </row>
    <row r="851" spans="1:3" ht="12.75">
      <c r="A851" s="42"/>
      <c r="B851" s="22"/>
      <c r="C851" s="20"/>
    </row>
    <row r="852" spans="1:3" ht="12.75">
      <c r="A852" s="41"/>
      <c r="B852" s="21"/>
      <c r="C852" s="20"/>
    </row>
    <row r="853" spans="1:3" ht="12.75">
      <c r="A853" s="41"/>
      <c r="B853" s="21"/>
      <c r="C853" s="20"/>
    </row>
    <row r="854" spans="1:3" ht="12.75">
      <c r="A854" s="41"/>
      <c r="B854" s="21"/>
      <c r="C854" s="20"/>
    </row>
    <row r="855" spans="1:3" ht="12.75">
      <c r="A855" s="41"/>
      <c r="B855" s="21"/>
      <c r="C855" s="20"/>
    </row>
    <row r="856" spans="1:3" ht="12.75">
      <c r="A856" s="41"/>
      <c r="B856" s="21"/>
      <c r="C856" s="20"/>
    </row>
    <row r="857" spans="1:3" ht="12.75">
      <c r="A857" s="49"/>
      <c r="B857" s="44"/>
      <c r="C857" s="20"/>
    </row>
    <row r="858" spans="1:3" ht="12.75">
      <c r="A858" s="41"/>
      <c r="B858" s="22"/>
      <c r="C858" s="23"/>
    </row>
    <row r="859" spans="1:3" ht="12.75">
      <c r="A859" s="41"/>
      <c r="B859" s="21"/>
      <c r="C859" s="20"/>
    </row>
    <row r="860" spans="1:3" ht="12.75">
      <c r="A860" s="42"/>
      <c r="B860" s="22"/>
      <c r="C860" s="20"/>
    </row>
    <row r="861" spans="1:3" ht="12.75">
      <c r="A861" s="41"/>
      <c r="B861" s="21"/>
      <c r="C861" s="20"/>
    </row>
    <row r="862" spans="1:3" ht="12.75">
      <c r="A862" s="41"/>
      <c r="B862" s="21"/>
      <c r="C862" s="20"/>
    </row>
    <row r="863" spans="1:3" ht="12.75">
      <c r="A863" s="41"/>
      <c r="B863" s="21"/>
      <c r="C863" s="20"/>
    </row>
    <row r="864" spans="1:3" ht="12.75">
      <c r="A864" s="41"/>
      <c r="B864" s="21"/>
      <c r="C864" s="20"/>
    </row>
    <row r="865" spans="1:3" ht="12.75">
      <c r="A865" s="41"/>
      <c r="B865" s="21"/>
      <c r="C865" s="20"/>
    </row>
    <row r="866" spans="1:3" ht="12.75">
      <c r="A866" s="41"/>
      <c r="B866" s="22"/>
      <c r="C866" s="23"/>
    </row>
    <row r="867" spans="1:3" ht="12.75">
      <c r="A867" s="41"/>
      <c r="B867" s="21"/>
      <c r="C867" s="20"/>
    </row>
    <row r="868" spans="1:3" ht="12.75">
      <c r="A868" s="42"/>
      <c r="B868" s="22"/>
      <c r="C868" s="20"/>
    </row>
    <row r="869" spans="1:3" ht="12.75">
      <c r="A869" s="41"/>
      <c r="B869" s="44"/>
      <c r="C869" s="20"/>
    </row>
    <row r="870" spans="1:3" ht="12.75">
      <c r="A870" s="41"/>
      <c r="B870" s="21"/>
      <c r="C870" s="20"/>
    </row>
    <row r="871" spans="1:3" ht="12.75">
      <c r="A871" s="41"/>
      <c r="B871" s="21"/>
      <c r="C871" s="20"/>
    </row>
    <row r="872" spans="1:3" ht="12.75">
      <c r="A872" s="41"/>
      <c r="B872" s="21"/>
      <c r="C872" s="20"/>
    </row>
    <row r="873" spans="1:3" ht="12.75">
      <c r="A873" s="41"/>
      <c r="B873" s="21"/>
      <c r="C873" s="20"/>
    </row>
    <row r="874" spans="1:3" ht="12.75">
      <c r="A874" s="41"/>
      <c r="B874" s="21"/>
      <c r="C874" s="20"/>
    </row>
    <row r="875" spans="1:3" ht="12.75">
      <c r="A875" s="41"/>
      <c r="B875" s="21"/>
      <c r="C875" s="20"/>
    </row>
    <row r="876" spans="1:3" ht="12.75">
      <c r="A876" s="41"/>
      <c r="B876" s="21"/>
      <c r="C876" s="20"/>
    </row>
    <row r="877" spans="1:3" ht="12.75">
      <c r="A877" s="41"/>
      <c r="B877" s="21"/>
      <c r="C877" s="20"/>
    </row>
    <row r="878" spans="1:3" ht="12.75">
      <c r="A878" s="41"/>
      <c r="B878" s="21"/>
      <c r="C878" s="20"/>
    </row>
    <row r="879" spans="1:3" ht="12.75">
      <c r="A879" s="41"/>
      <c r="B879" s="22"/>
      <c r="C879" s="23"/>
    </row>
    <row r="880" spans="1:3" ht="12.75">
      <c r="A880" s="41"/>
      <c r="B880" s="21"/>
      <c r="C880" s="20"/>
    </row>
    <row r="881" spans="1:3" ht="15.75">
      <c r="A881" s="41"/>
      <c r="B881" s="27"/>
      <c r="C881" s="50"/>
    </row>
    <row r="882" spans="1:3" ht="15.75">
      <c r="A882" s="41"/>
      <c r="B882" s="27"/>
      <c r="C882" s="50"/>
    </row>
    <row r="883" spans="1:3" ht="12.75">
      <c r="A883" s="41"/>
      <c r="B883" s="22"/>
      <c r="C883" s="20"/>
    </row>
    <row r="884" spans="1:3" ht="15.75">
      <c r="A884" s="45"/>
      <c r="B884" s="27"/>
      <c r="C884" s="20"/>
    </row>
    <row r="885" spans="1:3" ht="12.75">
      <c r="A885" s="42"/>
      <c r="B885" s="22"/>
      <c r="C885" s="20"/>
    </row>
    <row r="886" spans="1:3" ht="12.75">
      <c r="A886" s="42"/>
      <c r="B886" s="22"/>
      <c r="C886" s="20"/>
    </row>
    <row r="887" spans="1:3" ht="12.75">
      <c r="A887" s="41"/>
      <c r="B887" s="21"/>
      <c r="C887" s="20"/>
    </row>
    <row r="888" spans="1:3" ht="12.75">
      <c r="A888" s="41"/>
      <c r="B888" s="21"/>
      <c r="C888" s="20"/>
    </row>
    <row r="889" spans="1:3" ht="12.75">
      <c r="A889" s="41"/>
      <c r="B889" s="21"/>
      <c r="C889" s="20"/>
    </row>
    <row r="890" spans="1:3" ht="12.75">
      <c r="A890" s="41"/>
      <c r="B890" s="21"/>
      <c r="C890" s="20"/>
    </row>
    <row r="891" spans="1:3" ht="12.75">
      <c r="A891" s="41"/>
      <c r="B891" s="21"/>
      <c r="C891" s="20"/>
    </row>
    <row r="892" spans="1:3" ht="12.75">
      <c r="A892" s="41"/>
      <c r="B892" s="22"/>
      <c r="C892" s="23"/>
    </row>
    <row r="893" spans="1:3" ht="12.75">
      <c r="A893" s="41"/>
      <c r="B893" s="21"/>
      <c r="C893" s="20"/>
    </row>
    <row r="894" spans="1:3" ht="12.75">
      <c r="A894" s="42"/>
      <c r="B894" s="22"/>
      <c r="C894" s="20"/>
    </row>
    <row r="895" spans="1:3" ht="12.75">
      <c r="A895" s="41"/>
      <c r="B895" s="21"/>
      <c r="C895" s="20"/>
    </row>
    <row r="896" spans="1:3" ht="12.75">
      <c r="A896" s="41"/>
      <c r="B896" s="21"/>
      <c r="C896" s="20"/>
    </row>
    <row r="897" spans="1:3" ht="12.75">
      <c r="A897" s="41"/>
      <c r="B897" s="21"/>
      <c r="C897" s="20"/>
    </row>
    <row r="898" spans="1:3" ht="12.75">
      <c r="A898" s="41"/>
      <c r="B898" s="22"/>
      <c r="C898" s="23"/>
    </row>
    <row r="899" spans="1:3" ht="12.75">
      <c r="A899" s="41"/>
      <c r="B899" s="22"/>
      <c r="C899" s="20"/>
    </row>
    <row r="900" spans="1:3" ht="12.75">
      <c r="A900" s="42"/>
      <c r="B900" s="22"/>
      <c r="C900" s="20"/>
    </row>
    <row r="901" spans="1:3" ht="12.75">
      <c r="A901" s="41"/>
      <c r="B901" s="21"/>
      <c r="C901" s="20"/>
    </row>
    <row r="902" spans="1:3" ht="12.75">
      <c r="A902" s="41"/>
      <c r="B902" s="21"/>
      <c r="C902" s="20"/>
    </row>
    <row r="903" spans="1:3" ht="12.75">
      <c r="A903" s="41"/>
      <c r="B903" s="21"/>
      <c r="C903" s="20"/>
    </row>
    <row r="904" spans="1:3" ht="12.75">
      <c r="A904" s="41"/>
      <c r="B904" s="22"/>
      <c r="C904" s="23"/>
    </row>
    <row r="905" spans="1:3" ht="12.75">
      <c r="A905" s="41"/>
      <c r="B905" s="21"/>
      <c r="C905" s="20"/>
    </row>
    <row r="906" spans="1:3" ht="12.75">
      <c r="A906" s="42"/>
      <c r="B906" s="22"/>
      <c r="C906" s="20"/>
    </row>
    <row r="907" spans="1:3" ht="12.75">
      <c r="A907" s="41"/>
      <c r="B907" s="21"/>
      <c r="C907" s="20"/>
    </row>
    <row r="908" spans="1:3" ht="12.75">
      <c r="A908" s="41"/>
      <c r="B908" s="21"/>
      <c r="C908" s="20"/>
    </row>
    <row r="909" spans="1:3" ht="12.75">
      <c r="A909" s="41"/>
      <c r="B909" s="22"/>
      <c r="C909" s="23"/>
    </row>
    <row r="910" spans="1:3" ht="12.75">
      <c r="A910" s="41"/>
      <c r="B910" s="21"/>
      <c r="C910" s="20"/>
    </row>
    <row r="911" spans="1:3" ht="15.75">
      <c r="A911" s="41"/>
      <c r="B911" s="27"/>
      <c r="C911" s="28"/>
    </row>
    <row r="912" spans="1:3" ht="12.75">
      <c r="A912" s="41"/>
      <c r="B912" s="22"/>
      <c r="C912" s="20"/>
    </row>
    <row r="913" spans="1:3" ht="12.75">
      <c r="A913" s="41"/>
      <c r="B913" s="22"/>
      <c r="C913" s="20"/>
    </row>
    <row r="914" spans="1:3" ht="15.75">
      <c r="A914" s="45"/>
      <c r="B914" s="27"/>
      <c r="C914" s="20"/>
    </row>
    <row r="915" spans="1:3" ht="12.75">
      <c r="A915" s="42"/>
      <c r="B915" s="22"/>
      <c r="C915" s="20"/>
    </row>
    <row r="916" spans="1:3" ht="12.75">
      <c r="A916" s="41"/>
      <c r="B916" s="21"/>
      <c r="C916" s="20"/>
    </row>
    <row r="917" spans="1:3" ht="12.75">
      <c r="A917" s="41"/>
      <c r="B917" s="21"/>
      <c r="C917" s="20"/>
    </row>
    <row r="918" spans="1:3" ht="12.75">
      <c r="A918" s="41"/>
      <c r="B918" s="21"/>
      <c r="C918" s="20"/>
    </row>
    <row r="919" spans="1:3" ht="12.75">
      <c r="A919" s="41"/>
      <c r="B919" s="21"/>
      <c r="C919" s="20"/>
    </row>
    <row r="920" spans="1:3" ht="12.75">
      <c r="A920" s="41"/>
      <c r="B920" s="21"/>
      <c r="C920" s="20"/>
    </row>
    <row r="921" spans="1:3" ht="12.75">
      <c r="A921" s="41"/>
      <c r="B921" s="21"/>
      <c r="C921" s="20"/>
    </row>
    <row r="922" spans="1:3" ht="12.75">
      <c r="A922" s="41"/>
      <c r="B922" s="21"/>
      <c r="C922" s="20"/>
    </row>
    <row r="923" spans="1:3" ht="12.75">
      <c r="A923" s="41"/>
      <c r="B923" s="43"/>
      <c r="C923" s="20"/>
    </row>
    <row r="924" spans="1:3" ht="15.75">
      <c r="A924" s="41"/>
      <c r="B924" s="27"/>
      <c r="C924" s="28"/>
    </row>
    <row r="925" spans="1:3" ht="15.75">
      <c r="A925" s="41"/>
      <c r="B925" s="27"/>
      <c r="C925" s="28"/>
    </row>
    <row r="926" spans="1:3" ht="12.75">
      <c r="A926" s="41"/>
      <c r="B926" s="22"/>
      <c r="C926" s="20"/>
    </row>
    <row r="927" spans="1:3" ht="15.75">
      <c r="A927" s="45"/>
      <c r="B927" s="27"/>
      <c r="C927" s="20"/>
    </row>
    <row r="928" spans="1:3" ht="12.75">
      <c r="A928" s="42"/>
      <c r="B928" s="22"/>
      <c r="C928" s="20"/>
    </row>
    <row r="929" spans="1:3" ht="12.75">
      <c r="A929" s="41"/>
      <c r="B929" s="21"/>
      <c r="C929" s="20"/>
    </row>
    <row r="930" spans="1:3" ht="12.75">
      <c r="A930" s="41"/>
      <c r="B930" s="21"/>
      <c r="C930" s="20"/>
    </row>
    <row r="931" spans="1:3" ht="15.75">
      <c r="A931" s="41"/>
      <c r="B931" s="27"/>
      <c r="C931" s="28"/>
    </row>
    <row r="932" spans="1:3" ht="12.75">
      <c r="A932" s="41"/>
      <c r="B932" s="22"/>
      <c r="C932" s="20"/>
    </row>
    <row r="933" spans="1:3" ht="15.75">
      <c r="A933" s="45"/>
      <c r="B933" s="27"/>
      <c r="C933" s="20"/>
    </row>
    <row r="934" spans="1:3" ht="12.75">
      <c r="A934" s="42"/>
      <c r="B934" s="22"/>
      <c r="C934" s="20"/>
    </row>
    <row r="935" spans="1:3" ht="12.75">
      <c r="A935" s="41"/>
      <c r="B935" s="21"/>
      <c r="C935" s="20"/>
    </row>
    <row r="936" spans="1:3" ht="12.75">
      <c r="A936" s="41"/>
      <c r="B936" s="21"/>
      <c r="C936" s="20"/>
    </row>
    <row r="937" spans="1:3" ht="15">
      <c r="A937" s="41"/>
      <c r="B937" s="51"/>
      <c r="C937" s="20"/>
    </row>
    <row r="938" spans="1:3" ht="15.75">
      <c r="A938" s="41"/>
      <c r="B938" s="27"/>
      <c r="C938" s="28"/>
    </row>
    <row r="939" spans="1:3" ht="12.75">
      <c r="A939" s="41"/>
      <c r="B939" s="21"/>
      <c r="C939" s="20"/>
    </row>
    <row r="940" spans="1:3" ht="12.75">
      <c r="A940" s="41"/>
      <c r="B940" s="21"/>
      <c r="C940" s="20"/>
    </row>
    <row r="941" spans="1:3" ht="15.75">
      <c r="A941" s="41"/>
      <c r="B941" s="27"/>
      <c r="C941" s="52"/>
    </row>
    <row r="942" spans="1:3" ht="12.75">
      <c r="A942" s="2"/>
      <c r="B942" s="2"/>
      <c r="C942" s="2"/>
    </row>
    <row r="943" spans="1:3" ht="12.75">
      <c r="A943" s="2"/>
      <c r="B943" s="2"/>
      <c r="C943" s="2"/>
    </row>
    <row r="944" spans="1:3" ht="12.75">
      <c r="A944" s="2"/>
      <c r="B944" s="2"/>
      <c r="C944" s="2"/>
    </row>
    <row r="945" spans="1:3" ht="12.75">
      <c r="A945" s="2"/>
      <c r="B945" s="2"/>
      <c r="C945" s="2"/>
    </row>
    <row r="946" spans="1:3" ht="12.75">
      <c r="A946" s="2"/>
      <c r="B946" s="2"/>
      <c r="C946" s="2"/>
    </row>
    <row r="947" spans="1:3" ht="12.75">
      <c r="A947" s="2"/>
      <c r="B947" s="2"/>
      <c r="C947" s="2"/>
    </row>
    <row r="948" spans="1:3" ht="12.75">
      <c r="A948" s="2"/>
      <c r="B948" s="2"/>
      <c r="C948" s="2"/>
    </row>
    <row r="949" spans="1:3" ht="12.75">
      <c r="A949" s="2"/>
      <c r="B949" s="2"/>
      <c r="C949" s="2"/>
    </row>
    <row r="950" spans="1:3" ht="12.75">
      <c r="A950" s="2"/>
      <c r="B950" s="2"/>
      <c r="C950" s="2"/>
    </row>
    <row r="951" spans="1:3" ht="12.75">
      <c r="A951" s="2"/>
      <c r="B951" s="2"/>
      <c r="C951" s="2"/>
    </row>
    <row r="952" spans="1:3" ht="12.75">
      <c r="A952" s="2"/>
      <c r="B952" s="2"/>
      <c r="C952" s="2"/>
    </row>
    <row r="953" spans="1:3" ht="12.75">
      <c r="A953" s="2"/>
      <c r="B953" s="2"/>
      <c r="C953" s="2"/>
    </row>
    <row r="954" spans="1:3" ht="12.75">
      <c r="A954" s="2"/>
      <c r="B954" s="2"/>
      <c r="C954" s="2"/>
    </row>
    <row r="955" spans="1:3" ht="12.75">
      <c r="A955" s="2"/>
      <c r="B955" s="2"/>
      <c r="C955" s="2"/>
    </row>
    <row r="956" spans="1:3" ht="12.75">
      <c r="A956" s="2"/>
      <c r="B956" s="2"/>
      <c r="C956" s="2"/>
    </row>
    <row r="957" spans="1:3" ht="12.75">
      <c r="A957" s="2"/>
      <c r="B957" s="2"/>
      <c r="C957" s="2"/>
    </row>
    <row r="958" spans="1:3" ht="12.75">
      <c r="A958" s="2"/>
      <c r="B958" s="2"/>
      <c r="C958" s="2"/>
    </row>
    <row r="959" spans="1:3" ht="12.75">
      <c r="A959" s="2"/>
      <c r="B959" s="2"/>
      <c r="C959" s="2"/>
    </row>
    <row r="960" spans="1:3" ht="12.75">
      <c r="A960" s="2"/>
      <c r="B960" s="2"/>
      <c r="C960" s="2"/>
    </row>
    <row r="961" spans="1:3" ht="12.75">
      <c r="A961" s="2"/>
      <c r="B961" s="2"/>
      <c r="C961" s="2"/>
    </row>
    <row r="962" spans="1:3" ht="12.75">
      <c r="A962" s="2"/>
      <c r="B962" s="2"/>
      <c r="C962" s="2"/>
    </row>
    <row r="963" spans="1:3" ht="12.75">
      <c r="A963" s="2"/>
      <c r="B963" s="2"/>
      <c r="C963" s="2"/>
    </row>
    <row r="964" spans="1:3" ht="12.75">
      <c r="A964" s="2"/>
      <c r="B964" s="2"/>
      <c r="C964" s="2"/>
    </row>
    <row r="965" spans="1:3" ht="12.75">
      <c r="A965" s="2"/>
      <c r="B965" s="2"/>
      <c r="C965" s="2"/>
    </row>
    <row r="966" spans="1:3" ht="12.75">
      <c r="A966" s="2"/>
      <c r="B966" s="2"/>
      <c r="C966" s="2"/>
    </row>
    <row r="967" spans="1:3" ht="12.75">
      <c r="A967" s="2"/>
      <c r="B967" s="2"/>
      <c r="C967" s="2"/>
    </row>
    <row r="968" spans="1:3" ht="12.75">
      <c r="A968" s="2"/>
      <c r="B968" s="2"/>
      <c r="C968" s="2"/>
    </row>
    <row r="969" spans="1:3" ht="12.75">
      <c r="A969" s="2"/>
      <c r="B969" s="2"/>
      <c r="C969" s="2"/>
    </row>
    <row r="970" spans="1:3" ht="12.75">
      <c r="A970" s="2"/>
      <c r="B970" s="2"/>
      <c r="C970" s="2"/>
    </row>
    <row r="971" spans="1:3" ht="12.75">
      <c r="A971" s="2"/>
      <c r="B971" s="2"/>
      <c r="C971" s="2"/>
    </row>
    <row r="972" spans="1:3" ht="12.75">
      <c r="A972" s="2"/>
      <c r="B972" s="2"/>
      <c r="C972" s="2"/>
    </row>
    <row r="973" spans="1:3" ht="12.75">
      <c r="A973" s="2"/>
      <c r="B973" s="2"/>
      <c r="C973" s="2"/>
    </row>
    <row r="974" spans="1:3" ht="12.75">
      <c r="A974" s="2"/>
      <c r="B974" s="2"/>
      <c r="C974" s="2"/>
    </row>
    <row r="975" spans="1:3" ht="12.75">
      <c r="A975" s="2"/>
      <c r="B975" s="2"/>
      <c r="C975" s="2"/>
    </row>
    <row r="976" spans="1:3" ht="12.75">
      <c r="A976" s="2"/>
      <c r="B976" s="2"/>
      <c r="C976" s="2"/>
    </row>
    <row r="977" spans="1:3" ht="12.75">
      <c r="A977" s="2"/>
      <c r="B977" s="2"/>
      <c r="C977" s="2"/>
    </row>
    <row r="978" spans="1:3" ht="12.75">
      <c r="A978" s="2"/>
      <c r="B978" s="2"/>
      <c r="C978" s="2"/>
    </row>
    <row r="979" spans="1:3" ht="12.75">
      <c r="A979" s="2"/>
      <c r="B979" s="2"/>
      <c r="C979" s="2"/>
    </row>
    <row r="980" spans="1:3" ht="12.75">
      <c r="A980" s="2"/>
      <c r="B980" s="2"/>
      <c r="C980" s="2"/>
    </row>
    <row r="981" spans="1:3" ht="12.75">
      <c r="A981" s="2"/>
      <c r="B981" s="2"/>
      <c r="C981" s="2"/>
    </row>
    <row r="982" spans="1:3" ht="12.75">
      <c r="A982" s="2"/>
      <c r="B982" s="2"/>
      <c r="C982" s="2"/>
    </row>
    <row r="983" spans="1:3" ht="12.75">
      <c r="A983" s="2"/>
      <c r="B983" s="2"/>
      <c r="C983" s="2"/>
    </row>
    <row r="984" spans="1:3" ht="12.75">
      <c r="A984" s="2"/>
      <c r="B984" s="2"/>
      <c r="C984" s="2"/>
    </row>
    <row r="985" spans="1:3" ht="12.75">
      <c r="A985" s="2"/>
      <c r="B985" s="2"/>
      <c r="C985" s="2"/>
    </row>
    <row r="986" spans="1:3" ht="12.75">
      <c r="A986" s="2"/>
      <c r="B986" s="2"/>
      <c r="C986" s="2"/>
    </row>
    <row r="987" spans="1:3" ht="12.75">
      <c r="A987" s="2"/>
      <c r="B987" s="2"/>
      <c r="C987" s="2"/>
    </row>
    <row r="988" spans="1:3" ht="12.75">
      <c r="A988" s="2"/>
      <c r="B988" s="2"/>
      <c r="C988" s="2"/>
    </row>
    <row r="989" spans="1:3" ht="12.75">
      <c r="A989" s="2"/>
      <c r="B989" s="2"/>
      <c r="C989" s="2"/>
    </row>
    <row r="990" spans="1:3" ht="12.75">
      <c r="A990" s="2"/>
      <c r="B990" s="2"/>
      <c r="C990" s="2"/>
    </row>
    <row r="991" spans="1:3" ht="12.75">
      <c r="A991" s="2"/>
      <c r="B991" s="2"/>
      <c r="C991" s="2"/>
    </row>
    <row r="992" spans="1:3" ht="12.75">
      <c r="A992" s="2"/>
      <c r="B992" s="2"/>
      <c r="C992" s="2"/>
    </row>
    <row r="993" spans="1:3" ht="12.75">
      <c r="A993" s="2"/>
      <c r="B993" s="2"/>
      <c r="C993" s="2"/>
    </row>
    <row r="994" spans="1:3" ht="12.75">
      <c r="A994" s="2"/>
      <c r="B994" s="2"/>
      <c r="C994" s="2"/>
    </row>
    <row r="995" spans="1:3" ht="12.75">
      <c r="A995" s="2"/>
      <c r="B995" s="2"/>
      <c r="C995" s="2"/>
    </row>
    <row r="996" spans="1:3" ht="12.75">
      <c r="A996" s="2"/>
      <c r="B996" s="2"/>
      <c r="C996" s="2"/>
    </row>
    <row r="997" spans="1:3" ht="12.75">
      <c r="A997" s="2"/>
      <c r="B997" s="2"/>
      <c r="C997" s="2"/>
    </row>
    <row r="998" spans="1:3" ht="12.75">
      <c r="A998" s="2"/>
      <c r="B998" s="2"/>
      <c r="C998" s="2"/>
    </row>
    <row r="999" spans="1:3" ht="12.75">
      <c r="A999" s="2"/>
      <c r="B999" s="2"/>
      <c r="C999" s="2"/>
    </row>
    <row r="1000" spans="1:3" ht="12.75">
      <c r="A1000" s="2"/>
      <c r="B1000" s="2"/>
      <c r="C1000" s="2"/>
    </row>
    <row r="1001" spans="1:3" ht="12.75">
      <c r="A1001" s="2"/>
      <c r="B1001" s="2"/>
      <c r="C1001" s="2"/>
    </row>
    <row r="1002" spans="1:3" ht="12.75">
      <c r="A1002" s="2"/>
      <c r="B1002" s="2"/>
      <c r="C1002" s="2"/>
    </row>
    <row r="1003" spans="1:3" ht="12.75">
      <c r="A1003" s="2"/>
      <c r="B1003" s="2"/>
      <c r="C1003" s="2"/>
    </row>
    <row r="1004" spans="1:3" ht="12.75">
      <c r="A1004" s="2"/>
      <c r="B1004" s="2"/>
      <c r="C1004" s="2"/>
    </row>
    <row r="1005" spans="1:3" ht="12.75">
      <c r="A1005" s="2"/>
      <c r="B1005" s="2"/>
      <c r="C1005" s="2"/>
    </row>
    <row r="1006" spans="1:3" ht="12.75">
      <c r="A1006" s="2"/>
      <c r="B1006" s="2"/>
      <c r="C1006" s="2"/>
    </row>
    <row r="1007" spans="1:3" ht="12.75">
      <c r="A1007" s="2"/>
      <c r="B1007" s="2"/>
      <c r="C1007" s="2"/>
    </row>
    <row r="1008" spans="1:3" ht="12.75">
      <c r="A1008" s="2"/>
      <c r="B1008" s="2"/>
      <c r="C1008" s="2"/>
    </row>
    <row r="1009" spans="1:3" ht="12.75">
      <c r="A1009" s="2"/>
      <c r="B1009" s="2"/>
      <c r="C1009" s="2"/>
    </row>
    <row r="1010" spans="1:3" ht="12.75">
      <c r="A1010" s="2"/>
      <c r="B1010" s="2"/>
      <c r="C1010" s="2"/>
    </row>
    <row r="1011" spans="1:3" ht="12.75">
      <c r="A1011" s="2"/>
      <c r="B1011" s="2"/>
      <c r="C1011" s="2"/>
    </row>
    <row r="1012" spans="1:3" ht="12.75">
      <c r="A1012" s="2"/>
      <c r="B1012" s="2"/>
      <c r="C1012" s="2"/>
    </row>
    <row r="1013" spans="1:3" ht="12.75">
      <c r="A1013" s="2"/>
      <c r="B1013" s="2"/>
      <c r="C1013" s="2"/>
    </row>
    <row r="1014" spans="1:3" ht="12.75">
      <c r="A1014" s="2"/>
      <c r="B1014" s="2"/>
      <c r="C1014" s="2"/>
    </row>
    <row r="1015" spans="1:3" ht="12.75">
      <c r="A1015" s="2"/>
      <c r="B1015" s="2"/>
      <c r="C1015" s="2"/>
    </row>
    <row r="1016" spans="1:3" ht="12.75">
      <c r="A1016" s="2"/>
      <c r="B1016" s="2"/>
      <c r="C1016" s="2"/>
    </row>
    <row r="1017" spans="1:3" ht="12.75">
      <c r="A1017" s="2"/>
      <c r="B1017" s="2"/>
      <c r="C1017" s="2"/>
    </row>
    <row r="1018" spans="1:3" ht="12.75">
      <c r="A1018" s="2"/>
      <c r="B1018" s="2"/>
      <c r="C1018" s="2"/>
    </row>
    <row r="1019" spans="1:3" ht="12.75">
      <c r="A1019" s="2"/>
      <c r="B1019" s="2"/>
      <c r="C1019" s="2"/>
    </row>
    <row r="1020" spans="1:3" ht="12.75">
      <c r="A1020" s="2"/>
      <c r="B1020" s="2"/>
      <c r="C1020" s="2"/>
    </row>
    <row r="1021" spans="1:3" ht="12.75">
      <c r="A1021" s="2"/>
      <c r="B1021" s="2"/>
      <c r="C1021" s="2"/>
    </row>
    <row r="1022" spans="1:3" ht="12.75">
      <c r="A1022" s="2"/>
      <c r="B1022" s="2"/>
      <c r="C1022" s="2"/>
    </row>
    <row r="1023" spans="1:3" ht="12.75">
      <c r="A1023" s="2"/>
      <c r="B1023" s="2"/>
      <c r="C1023" s="2"/>
    </row>
    <row r="1024" spans="1:3" ht="12.75">
      <c r="A1024" s="2"/>
      <c r="B1024" s="2"/>
      <c r="C1024" s="2"/>
    </row>
    <row r="1025" spans="1:3" ht="12.75">
      <c r="A1025" s="2"/>
      <c r="B1025" s="2"/>
      <c r="C1025" s="2"/>
    </row>
    <row r="1026" spans="1:3" ht="12.75">
      <c r="A1026" s="2"/>
      <c r="B1026" s="2"/>
      <c r="C1026" s="2"/>
    </row>
    <row r="1027" spans="1:3" ht="12.75">
      <c r="A1027" s="2"/>
      <c r="B1027" s="2"/>
      <c r="C1027" s="2"/>
    </row>
    <row r="1028" spans="1:3" ht="12.75">
      <c r="A1028" s="2"/>
      <c r="B1028" s="2"/>
      <c r="C1028" s="2"/>
    </row>
    <row r="1029" spans="1:3" ht="12.75">
      <c r="A1029" s="2"/>
      <c r="B1029" s="2"/>
      <c r="C1029" s="2"/>
    </row>
    <row r="1030" spans="1:3" ht="12.75">
      <c r="A1030" s="2"/>
      <c r="B1030" s="2"/>
      <c r="C1030" s="2"/>
    </row>
    <row r="1031" spans="1:3" ht="12.75">
      <c r="A1031" s="2"/>
      <c r="B1031" s="2"/>
      <c r="C1031" s="2"/>
    </row>
    <row r="1032" spans="1:3" ht="12.75">
      <c r="A1032" s="2"/>
      <c r="B1032" s="2"/>
      <c r="C1032" s="2"/>
    </row>
    <row r="1033" spans="1:3" ht="12.75">
      <c r="A1033" s="2"/>
      <c r="B1033" s="2"/>
      <c r="C1033" s="2"/>
    </row>
    <row r="1034" spans="1:3" ht="12.75">
      <c r="A1034" s="2"/>
      <c r="B1034" s="2"/>
      <c r="C1034" s="2"/>
    </row>
    <row r="1035" spans="1:3" ht="12.75">
      <c r="A1035" s="2"/>
      <c r="B1035" s="2"/>
      <c r="C1035" s="2"/>
    </row>
    <row r="1036" spans="1:3" ht="12.75">
      <c r="A1036" s="2"/>
      <c r="B1036" s="2"/>
      <c r="C1036" s="2"/>
    </row>
    <row r="1037" spans="1:3" ht="12.75">
      <c r="A1037" s="2"/>
      <c r="B1037" s="2"/>
      <c r="C1037" s="2"/>
    </row>
    <row r="1038" spans="1:3" ht="12.75">
      <c r="A1038" s="2"/>
      <c r="B1038" s="2"/>
      <c r="C1038" s="2"/>
    </row>
    <row r="1039" spans="1:3" ht="12.75">
      <c r="A1039" s="2"/>
      <c r="B1039" s="2"/>
      <c r="C1039" s="2"/>
    </row>
    <row r="1040" spans="1:3" ht="12.75">
      <c r="A1040" s="2"/>
      <c r="B1040" s="2"/>
      <c r="C1040" s="2"/>
    </row>
    <row r="1041" spans="1:3" ht="12.75">
      <c r="A1041" s="2"/>
      <c r="B1041" s="2"/>
      <c r="C1041" s="2"/>
    </row>
    <row r="1042" spans="1:3" ht="12.75">
      <c r="A1042" s="2"/>
      <c r="B1042" s="2"/>
      <c r="C1042" s="2"/>
    </row>
    <row r="1043" spans="1:3" ht="12.75">
      <c r="A1043" s="2"/>
      <c r="B1043" s="2"/>
      <c r="C1043" s="2"/>
    </row>
    <row r="1044" spans="1:3" ht="12.75">
      <c r="A1044" s="2"/>
      <c r="B1044" s="2"/>
      <c r="C1044" s="2"/>
    </row>
    <row r="1045" spans="1:3" ht="12.75">
      <c r="A1045" s="2"/>
      <c r="B1045" s="2"/>
      <c r="C1045" s="2"/>
    </row>
    <row r="1046" spans="1:3" ht="12.75">
      <c r="A1046" s="2"/>
      <c r="B1046" s="2"/>
      <c r="C1046" s="2"/>
    </row>
    <row r="1047" spans="1:3" ht="12.75">
      <c r="A1047" s="2"/>
      <c r="B1047" s="2"/>
      <c r="C1047" s="2"/>
    </row>
    <row r="1048" spans="1:3" ht="12.75">
      <c r="A1048" s="2"/>
      <c r="B1048" s="2"/>
      <c r="C1048" s="2"/>
    </row>
    <row r="1049" spans="1:3" ht="12.75">
      <c r="A1049" s="2"/>
      <c r="B1049" s="2"/>
      <c r="C1049" s="2"/>
    </row>
    <row r="1050" spans="1:3" ht="12.75">
      <c r="A1050" s="2"/>
      <c r="B1050" s="2"/>
      <c r="C1050" s="2"/>
    </row>
    <row r="1051" spans="1:3" ht="12.75">
      <c r="A1051" s="2"/>
      <c r="B1051" s="2"/>
      <c r="C1051" s="2"/>
    </row>
    <row r="1052" spans="1:3" ht="12.75">
      <c r="A1052" s="2"/>
      <c r="B1052" s="2"/>
      <c r="C1052" s="2"/>
    </row>
    <row r="1053" spans="1:3" ht="12.75">
      <c r="A1053" s="2"/>
      <c r="B1053" s="2"/>
      <c r="C1053" s="2"/>
    </row>
    <row r="1054" spans="1:3" ht="12.75">
      <c r="A1054" s="2"/>
      <c r="B1054" s="2"/>
      <c r="C1054" s="2"/>
    </row>
    <row r="1055" spans="1:3" ht="12.75">
      <c r="A1055" s="2"/>
      <c r="B1055" s="2"/>
      <c r="C1055" s="2"/>
    </row>
    <row r="1056" spans="1:3" ht="12.75">
      <c r="A1056" s="2"/>
      <c r="B1056" s="2"/>
      <c r="C1056" s="2"/>
    </row>
    <row r="1057" spans="1:3" ht="12.75">
      <c r="A1057" s="2"/>
      <c r="B1057" s="2"/>
      <c r="C1057" s="2"/>
    </row>
    <row r="1058" spans="1:3" ht="12.75">
      <c r="A1058" s="2"/>
      <c r="B1058" s="2"/>
      <c r="C1058" s="2"/>
    </row>
    <row r="1059" spans="1:3" ht="12.75">
      <c r="A1059" s="2"/>
      <c r="B1059" s="2"/>
      <c r="C1059" s="2"/>
    </row>
    <row r="1060" spans="1:3" ht="12.75">
      <c r="A1060" s="2"/>
      <c r="B1060" s="2"/>
      <c r="C1060" s="2"/>
    </row>
    <row r="1061" spans="1:3" ht="12.75">
      <c r="A1061" s="2"/>
      <c r="B1061" s="2"/>
      <c r="C1061" s="2"/>
    </row>
    <row r="1062" spans="1:3" ht="12.75">
      <c r="A1062" s="2"/>
      <c r="B1062" s="2"/>
      <c r="C1062" s="2"/>
    </row>
    <row r="1063" spans="1:3" ht="12.75">
      <c r="A1063" s="2"/>
      <c r="B1063" s="2"/>
      <c r="C1063" s="2"/>
    </row>
    <row r="1064" spans="1:3" ht="12.75">
      <c r="A1064" s="2"/>
      <c r="B1064" s="2"/>
      <c r="C1064" s="2"/>
    </row>
    <row r="1065" spans="1:3" ht="12.75">
      <c r="A1065" s="2"/>
      <c r="B1065" s="2"/>
      <c r="C1065" s="2"/>
    </row>
    <row r="1066" spans="1:3" ht="12.75">
      <c r="A1066" s="2"/>
      <c r="B1066" s="2"/>
      <c r="C1066" s="2"/>
    </row>
    <row r="1067" spans="1:3" ht="12.75">
      <c r="A1067" s="2"/>
      <c r="B1067" s="2"/>
      <c r="C1067" s="2"/>
    </row>
    <row r="1068" spans="1:3" ht="12.75">
      <c r="A1068" s="2"/>
      <c r="B1068" s="2"/>
      <c r="C1068" s="2"/>
    </row>
    <row r="1069" spans="1:3" ht="12.75">
      <c r="A1069" s="2"/>
      <c r="B1069" s="2"/>
      <c r="C1069" s="2"/>
    </row>
    <row r="1070" spans="1:3" ht="12.75">
      <c r="A1070" s="2"/>
      <c r="B1070" s="2"/>
      <c r="C1070" s="2"/>
    </row>
    <row r="1071" spans="1:3" ht="12.75">
      <c r="A1071" s="2"/>
      <c r="B1071" s="2"/>
      <c r="C1071" s="2"/>
    </row>
    <row r="1072" spans="1:3" ht="12.75">
      <c r="A1072" s="2"/>
      <c r="B1072" s="2"/>
      <c r="C1072" s="2"/>
    </row>
    <row r="1073" spans="1:3" ht="12.75">
      <c r="A1073" s="2"/>
      <c r="B1073" s="2"/>
      <c r="C1073" s="2"/>
    </row>
    <row r="1074" spans="1:3" ht="12.75">
      <c r="A1074" s="2"/>
      <c r="B1074" s="2"/>
      <c r="C1074" s="2"/>
    </row>
    <row r="1075" spans="1:3" ht="12.75">
      <c r="A1075" s="2"/>
      <c r="B1075" s="2"/>
      <c r="C1075" s="2"/>
    </row>
    <row r="1076" spans="1:3" ht="12.75">
      <c r="A1076" s="2"/>
      <c r="B1076" s="2"/>
      <c r="C1076" s="2"/>
    </row>
    <row r="1077" spans="1:3" ht="12.75">
      <c r="A1077" s="2"/>
      <c r="B1077" s="2"/>
      <c r="C1077" s="2"/>
    </row>
    <row r="1078" spans="1:3" ht="12.75">
      <c r="A1078" s="2"/>
      <c r="B1078" s="2"/>
      <c r="C1078" s="2"/>
    </row>
    <row r="1079" spans="1:3" ht="12.75">
      <c r="A1079" s="2"/>
      <c r="B1079" s="2"/>
      <c r="C1079" s="2"/>
    </row>
    <row r="1080" spans="1:3" ht="12.75">
      <c r="A1080" s="2"/>
      <c r="B1080" s="2"/>
      <c r="C1080" s="2"/>
    </row>
    <row r="1081" spans="1:3" ht="12.75">
      <c r="A1081" s="2"/>
      <c r="B1081" s="2"/>
      <c r="C1081" s="2"/>
    </row>
    <row r="1082" spans="1:3" ht="12.75">
      <c r="A1082" s="2"/>
      <c r="B1082" s="2"/>
      <c r="C1082" s="2"/>
    </row>
    <row r="1083" spans="1:3" ht="12.75">
      <c r="A1083" s="2"/>
      <c r="B1083" s="2"/>
      <c r="C1083" s="2"/>
    </row>
    <row r="1084" spans="1:3" ht="12.75">
      <c r="A1084" s="2"/>
      <c r="B1084" s="2"/>
      <c r="C1084" s="2"/>
    </row>
    <row r="1085" spans="1:3" ht="12.75">
      <c r="A1085" s="2"/>
      <c r="B1085" s="2"/>
      <c r="C1085" s="2"/>
    </row>
    <row r="1086" spans="1:3" ht="12.75">
      <c r="A1086" s="2"/>
      <c r="B1086" s="2"/>
      <c r="C1086" s="2"/>
    </row>
    <row r="1087" spans="1:3" ht="12.75">
      <c r="A1087" s="2"/>
      <c r="B1087" s="2"/>
      <c r="C1087" s="2"/>
    </row>
    <row r="1088" spans="1:3" ht="12.75">
      <c r="A1088" s="2"/>
      <c r="B1088" s="2"/>
      <c r="C1088" s="2"/>
    </row>
    <row r="1089" spans="1:3" ht="12.75">
      <c r="A1089" s="2"/>
      <c r="B1089" s="2"/>
      <c r="C1089" s="2"/>
    </row>
    <row r="1090" spans="1:3" ht="12.75">
      <c r="A1090" s="2"/>
      <c r="B1090" s="2"/>
      <c r="C1090" s="2"/>
    </row>
    <row r="1091" spans="1:3" ht="12.75">
      <c r="A1091" s="2"/>
      <c r="B1091" s="2"/>
      <c r="C1091" s="2"/>
    </row>
    <row r="1092" spans="1:3" ht="12.75">
      <c r="A1092" s="2"/>
      <c r="B1092" s="2"/>
      <c r="C1092" s="2"/>
    </row>
    <row r="1093" spans="1:3" ht="12.75">
      <c r="A1093" s="2"/>
      <c r="B1093" s="2"/>
      <c r="C1093" s="2"/>
    </row>
    <row r="1094" spans="1:3" ht="12.75">
      <c r="A1094" s="2"/>
      <c r="B1094" s="2"/>
      <c r="C1094" s="2"/>
    </row>
    <row r="1095" spans="1:3" ht="12.75">
      <c r="A1095" s="2"/>
      <c r="B1095" s="2"/>
      <c r="C1095" s="2"/>
    </row>
    <row r="1096" spans="1:3" ht="12.75">
      <c r="A1096" s="2"/>
      <c r="B1096" s="2"/>
      <c r="C1096" s="2"/>
    </row>
    <row r="1097" spans="1:3" ht="12.75">
      <c r="A1097" s="2"/>
      <c r="B1097" s="2"/>
      <c r="C1097" s="2"/>
    </row>
    <row r="1098" spans="1:3" ht="12.75">
      <c r="A1098" s="2"/>
      <c r="B1098" s="2"/>
      <c r="C1098" s="2"/>
    </row>
    <row r="1099" spans="1:3" ht="12.75">
      <c r="A1099" s="2"/>
      <c r="B1099" s="2"/>
      <c r="C1099" s="2"/>
    </row>
    <row r="1100" spans="1:3" ht="12.75">
      <c r="A1100" s="2"/>
      <c r="B1100" s="2"/>
      <c r="C1100" s="2"/>
    </row>
    <row r="1101" spans="1:3" ht="12.75">
      <c r="A1101" s="2"/>
      <c r="B1101" s="2"/>
      <c r="C1101" s="2"/>
    </row>
    <row r="1102" spans="1:3" ht="12.75">
      <c r="A1102" s="2"/>
      <c r="B1102" s="2"/>
      <c r="C1102" s="2"/>
    </row>
    <row r="1103" spans="1:3" ht="12.75">
      <c r="A1103" s="2"/>
      <c r="B1103" s="2"/>
      <c r="C1103" s="2"/>
    </row>
    <row r="1104" spans="1:3" ht="12.75">
      <c r="A1104" s="2"/>
      <c r="B1104" s="2"/>
      <c r="C1104" s="2"/>
    </row>
    <row r="1105" spans="1:3" ht="12.75">
      <c r="A1105" s="2"/>
      <c r="B1105" s="2"/>
      <c r="C1105" s="2"/>
    </row>
    <row r="1106" spans="1:3" ht="12.75">
      <c r="A1106" s="2"/>
      <c r="B1106" s="2"/>
      <c r="C1106" s="2"/>
    </row>
    <row r="1107" spans="1:3" ht="12.75">
      <c r="A1107" s="2"/>
      <c r="B1107" s="2"/>
      <c r="C1107" s="2"/>
    </row>
    <row r="1108" spans="1:3" ht="12.75">
      <c r="A1108" s="2"/>
      <c r="B1108" s="2"/>
      <c r="C1108" s="2"/>
    </row>
    <row r="1109" spans="1:3" ht="12.75">
      <c r="A1109" s="2"/>
      <c r="B1109" s="2"/>
      <c r="C1109" s="2"/>
    </row>
    <row r="1110" spans="1:3" ht="12.75">
      <c r="A1110" s="2"/>
      <c r="B1110" s="2"/>
      <c r="C1110" s="2"/>
    </row>
    <row r="1111" spans="1:3" ht="12.75">
      <c r="A1111" s="2"/>
      <c r="B1111" s="2"/>
      <c r="C1111" s="2"/>
    </row>
    <row r="1112" spans="1:3" ht="12.75">
      <c r="A1112" s="2"/>
      <c r="B1112" s="2"/>
      <c r="C1112" s="2"/>
    </row>
    <row r="1113" spans="1:3" ht="12.75">
      <c r="A1113" s="2"/>
      <c r="B1113" s="2"/>
      <c r="C1113" s="2"/>
    </row>
    <row r="1114" spans="1:3" ht="12.75">
      <c r="A1114" s="2"/>
      <c r="B1114" s="2"/>
      <c r="C1114" s="2"/>
    </row>
    <row r="1115" spans="1:3" ht="12.75">
      <c r="A1115" s="2"/>
      <c r="B1115" s="2"/>
      <c r="C1115" s="2"/>
    </row>
    <row r="1116" spans="1:3" ht="12.75">
      <c r="A1116" s="2"/>
      <c r="B1116" s="2"/>
      <c r="C1116" s="2"/>
    </row>
    <row r="1117" spans="1:3" ht="12.75">
      <c r="A1117" s="2"/>
      <c r="B1117" s="2"/>
      <c r="C1117" s="2"/>
    </row>
    <row r="1118" spans="1:3" ht="12.75">
      <c r="A1118" s="2"/>
      <c r="B1118" s="2"/>
      <c r="C1118" s="2"/>
    </row>
    <row r="1119" spans="1:3" ht="12.75">
      <c r="A1119" s="2"/>
      <c r="B1119" s="2"/>
      <c r="C1119" s="2"/>
    </row>
    <row r="1120" spans="1:3" ht="12.75">
      <c r="A1120" s="2"/>
      <c r="B1120" s="2"/>
      <c r="C1120" s="2"/>
    </row>
    <row r="1121" spans="1:3" ht="12.75">
      <c r="A1121" s="2"/>
      <c r="B1121" s="2"/>
      <c r="C1121" s="2"/>
    </row>
    <row r="1122" spans="1:3" ht="12.75">
      <c r="A1122" s="2"/>
      <c r="B1122" s="2"/>
      <c r="C1122" s="2"/>
    </row>
    <row r="1123" spans="1:3" ht="12.75">
      <c r="A1123" s="2"/>
      <c r="B1123" s="2"/>
      <c r="C1123" s="2"/>
    </row>
    <row r="1124" spans="1:3" ht="12.75">
      <c r="A1124" s="2"/>
      <c r="B1124" s="2"/>
      <c r="C1124" s="2"/>
    </row>
    <row r="1125" spans="1:3" ht="12.75">
      <c r="A1125" s="2"/>
      <c r="B1125" s="2"/>
      <c r="C1125" s="2"/>
    </row>
    <row r="1126" spans="1:3" ht="12.75">
      <c r="A1126" s="2"/>
      <c r="B1126" s="2"/>
      <c r="C1126" s="2"/>
    </row>
    <row r="1127" spans="1:3" ht="12.75">
      <c r="A1127" s="2"/>
      <c r="B1127" s="2"/>
      <c r="C1127" s="2"/>
    </row>
    <row r="1128" spans="1:3" ht="12.75">
      <c r="A1128" s="2"/>
      <c r="B1128" s="2"/>
      <c r="C1128" s="2"/>
    </row>
    <row r="1129" spans="1:3" ht="12.75">
      <c r="A1129" s="2"/>
      <c r="B1129" s="2"/>
      <c r="C1129" s="2"/>
    </row>
    <row r="1130" spans="1:3" ht="12.75">
      <c r="A1130" s="2"/>
      <c r="B1130" s="2"/>
      <c r="C1130" s="2"/>
    </row>
    <row r="1131" spans="1:3" ht="12.75">
      <c r="A1131" s="2"/>
      <c r="B1131" s="2"/>
      <c r="C1131" s="2"/>
    </row>
    <row r="1132" spans="1:3" ht="12.75">
      <c r="A1132" s="2"/>
      <c r="B1132" s="2"/>
      <c r="C1132" s="2"/>
    </row>
    <row r="1133" spans="1:3" ht="12.75">
      <c r="A1133" s="2"/>
      <c r="B1133" s="2"/>
      <c r="C1133" s="2"/>
    </row>
    <row r="1134" spans="1:3" ht="12.75">
      <c r="A1134" s="2"/>
      <c r="B1134" s="2"/>
      <c r="C1134" s="2"/>
    </row>
    <row r="1135" spans="1:3" ht="12.75">
      <c r="A1135" s="2"/>
      <c r="B1135" s="2"/>
      <c r="C1135" s="2"/>
    </row>
    <row r="1136" spans="1:3" ht="12.75">
      <c r="A1136" s="2"/>
      <c r="B1136" s="2"/>
      <c r="C1136" s="2"/>
    </row>
    <row r="1137" spans="1:3" ht="12.75">
      <c r="A1137" s="2"/>
      <c r="B1137" s="2"/>
      <c r="C1137" s="2"/>
    </row>
    <row r="1138" spans="1:3" ht="12.75">
      <c r="A1138" s="2"/>
      <c r="B1138" s="2"/>
      <c r="C1138" s="2"/>
    </row>
    <row r="1139" spans="1:3" ht="12.75">
      <c r="A1139" s="2"/>
      <c r="B1139" s="2"/>
      <c r="C1139" s="2"/>
    </row>
    <row r="1140" spans="1:3" ht="12.75">
      <c r="A1140" s="2"/>
      <c r="B1140" s="2"/>
      <c r="C1140" s="2"/>
    </row>
    <row r="1141" spans="1:3" ht="12.75">
      <c r="A1141" s="2"/>
      <c r="B1141" s="2"/>
      <c r="C1141" s="2"/>
    </row>
    <row r="1142" spans="1:3" ht="12.75">
      <c r="A1142" s="2"/>
      <c r="B1142" s="2"/>
      <c r="C1142" s="2"/>
    </row>
    <row r="1143" spans="1:3" ht="12.75">
      <c r="A1143" s="2"/>
      <c r="B1143" s="2"/>
      <c r="C1143" s="2"/>
    </row>
    <row r="1144" spans="1:3" ht="12.75">
      <c r="A1144" s="2"/>
      <c r="B1144" s="2"/>
      <c r="C1144" s="2"/>
    </row>
    <row r="1145" spans="1:3" ht="12.75">
      <c r="A1145" s="2"/>
      <c r="B1145" s="2"/>
      <c r="C1145" s="2"/>
    </row>
    <row r="1146" spans="1:3" ht="12.75">
      <c r="A1146" s="2"/>
      <c r="B1146" s="2"/>
      <c r="C1146" s="2"/>
    </row>
    <row r="1147" spans="1:3" ht="12.75">
      <c r="A1147" s="2"/>
      <c r="B1147" s="2"/>
      <c r="C1147" s="2"/>
    </row>
    <row r="1148" spans="1:3" ht="12.75">
      <c r="A1148" s="2"/>
      <c r="B1148" s="2"/>
      <c r="C1148" s="2"/>
    </row>
    <row r="1149" spans="1:3" ht="12.75">
      <c r="A1149" s="2"/>
      <c r="B1149" s="2"/>
      <c r="C1149" s="2"/>
    </row>
    <row r="1150" spans="1:3" ht="12.75">
      <c r="A1150" s="2"/>
      <c r="B1150" s="2"/>
      <c r="C1150" s="2"/>
    </row>
    <row r="1151" spans="1:3" ht="12.75">
      <c r="A1151" s="2"/>
      <c r="B1151" s="2"/>
      <c r="C1151" s="2"/>
    </row>
    <row r="1152" spans="1:3" ht="12.75">
      <c r="A1152" s="2"/>
      <c r="B1152" s="2"/>
      <c r="C1152" s="2"/>
    </row>
    <row r="1153" spans="1:3" ht="12.75">
      <c r="A1153" s="2"/>
      <c r="B1153" s="2"/>
      <c r="C1153" s="2"/>
    </row>
    <row r="1154" spans="1:3" ht="12.75">
      <c r="A1154" s="2"/>
      <c r="B1154" s="2"/>
      <c r="C1154" s="2"/>
    </row>
    <row r="1155" spans="1:3" ht="12.75">
      <c r="A1155" s="2"/>
      <c r="B1155" s="2"/>
      <c r="C1155" s="2"/>
    </row>
    <row r="1156" spans="1:3" ht="12.75">
      <c r="A1156" s="2"/>
      <c r="B1156" s="2"/>
      <c r="C1156" s="2"/>
    </row>
    <row r="1157" spans="1:3" ht="12.75">
      <c r="A1157" s="2"/>
      <c r="B1157" s="2"/>
      <c r="C1157" s="2"/>
    </row>
    <row r="1158" spans="1:3" ht="12.75">
      <c r="A1158" s="2"/>
      <c r="B1158" s="2"/>
      <c r="C1158" s="2"/>
    </row>
    <row r="1159" spans="1:3" ht="12.75">
      <c r="A1159" s="2"/>
      <c r="B1159" s="2"/>
      <c r="C1159" s="2"/>
    </row>
    <row r="1160" spans="1:3" ht="12.75">
      <c r="A1160" s="2"/>
      <c r="B1160" s="2"/>
      <c r="C1160" s="2"/>
    </row>
    <row r="1161" spans="1:3" ht="12.75">
      <c r="A1161" s="2"/>
      <c r="B1161" s="2"/>
      <c r="C1161" s="2"/>
    </row>
    <row r="1162" spans="1:3" ht="12.75">
      <c r="A1162" s="2"/>
      <c r="B1162" s="2"/>
      <c r="C1162" s="2"/>
    </row>
    <row r="1163" spans="1:3" ht="12.75">
      <c r="A1163" s="2"/>
      <c r="B1163" s="2"/>
      <c r="C1163" s="2"/>
    </row>
    <row r="1164" spans="1:3" ht="12.75">
      <c r="A1164" s="2"/>
      <c r="B1164" s="2"/>
      <c r="C1164" s="2"/>
    </row>
    <row r="1165" spans="1:3" ht="12.75">
      <c r="A1165" s="2"/>
      <c r="B1165" s="2"/>
      <c r="C1165" s="2"/>
    </row>
    <row r="1166" spans="1:3" ht="12.75">
      <c r="A1166" s="2"/>
      <c r="B1166" s="2"/>
      <c r="C1166" s="2"/>
    </row>
    <row r="1167" spans="1:3" ht="12.75">
      <c r="A1167" s="2"/>
      <c r="B1167" s="2"/>
      <c r="C1167" s="2"/>
    </row>
    <row r="1168" spans="1:3" ht="12.75">
      <c r="A1168" s="2"/>
      <c r="B1168" s="2"/>
      <c r="C1168" s="2"/>
    </row>
    <row r="1169" spans="1:3" ht="12.75">
      <c r="A1169" s="2"/>
      <c r="B1169" s="2"/>
      <c r="C1169" s="2"/>
    </row>
    <row r="1170" spans="1:3" ht="12.75">
      <c r="A1170" s="2"/>
      <c r="B1170" s="2"/>
      <c r="C1170" s="2"/>
    </row>
    <row r="1171" spans="1:3" ht="12.75">
      <c r="A1171" s="2"/>
      <c r="B1171" s="2"/>
      <c r="C1171" s="2"/>
    </row>
    <row r="1172" spans="1:3" ht="12.75">
      <c r="A1172" s="2"/>
      <c r="B1172" s="2"/>
      <c r="C1172" s="2"/>
    </row>
    <row r="1173" spans="1:3" ht="12.75">
      <c r="A1173" s="2"/>
      <c r="B1173" s="2"/>
      <c r="C1173" s="2"/>
    </row>
    <row r="1174" spans="1:3" ht="12.75">
      <c r="A1174" s="2"/>
      <c r="B1174" s="2"/>
      <c r="C1174" s="2"/>
    </row>
    <row r="1175" spans="1:3" ht="12.75">
      <c r="A1175" s="2"/>
      <c r="B1175" s="2"/>
      <c r="C1175" s="2"/>
    </row>
    <row r="1176" spans="1:3" ht="12.75">
      <c r="A1176" s="2"/>
      <c r="B1176" s="2"/>
      <c r="C1176" s="2"/>
    </row>
    <row r="1177" spans="1:3" ht="12.75">
      <c r="A1177" s="2"/>
      <c r="B1177" s="2"/>
      <c r="C1177" s="2"/>
    </row>
    <row r="1178" spans="1:3" ht="12.75">
      <c r="A1178" s="2"/>
      <c r="B1178" s="2"/>
      <c r="C1178" s="2"/>
    </row>
    <row r="1179" spans="1:3" ht="12.75">
      <c r="A1179" s="2"/>
      <c r="B1179" s="2"/>
      <c r="C1179" s="2"/>
    </row>
    <row r="1180" spans="1:3" ht="12.75">
      <c r="A1180" s="2"/>
      <c r="B1180" s="2"/>
      <c r="C1180" s="2"/>
    </row>
    <row r="1181" spans="1:3" ht="12.75">
      <c r="A1181" s="2"/>
      <c r="B1181" s="2"/>
      <c r="C1181" s="2"/>
    </row>
    <row r="1182" spans="1:3" ht="12.75">
      <c r="A1182" s="2"/>
      <c r="B1182" s="2"/>
      <c r="C1182" s="2"/>
    </row>
    <row r="1183" spans="1:3" ht="12.75">
      <c r="A1183" s="2"/>
      <c r="B1183" s="2"/>
      <c r="C1183" s="2"/>
    </row>
    <row r="1184" spans="1:3" ht="12.75">
      <c r="A1184" s="2"/>
      <c r="B1184" s="2"/>
      <c r="C1184" s="2"/>
    </row>
    <row r="1185" spans="1:3" ht="12.75">
      <c r="A1185" s="2"/>
      <c r="B1185" s="2"/>
      <c r="C1185" s="2"/>
    </row>
    <row r="1186" spans="1:3" ht="12.75">
      <c r="A1186" s="2"/>
      <c r="B1186" s="2"/>
      <c r="C1186" s="2"/>
    </row>
    <row r="1187" spans="1:3" ht="12.75">
      <c r="A1187" s="2"/>
      <c r="B1187" s="2"/>
      <c r="C1187" s="2"/>
    </row>
    <row r="1188" spans="1:3" ht="12.75">
      <c r="A1188" s="2"/>
      <c r="B1188" s="2"/>
      <c r="C1188" s="2"/>
    </row>
    <row r="1189" spans="1:3" ht="12.75">
      <c r="A1189" s="2"/>
      <c r="B1189" s="2"/>
      <c r="C1189" s="2"/>
    </row>
    <row r="1190" spans="1:3" ht="12.75">
      <c r="A1190" s="2"/>
      <c r="B1190" s="2"/>
      <c r="C1190" s="2"/>
    </row>
    <row r="1191" spans="1:3" ht="12.75">
      <c r="A1191" s="2"/>
      <c r="B1191" s="2"/>
      <c r="C1191" s="2"/>
    </row>
    <row r="1192" spans="1:3" ht="12.75">
      <c r="A1192" s="2"/>
      <c r="B1192" s="2"/>
      <c r="C1192" s="2"/>
    </row>
    <row r="1193" spans="1:3" ht="12.75">
      <c r="A1193" s="2"/>
      <c r="B1193" s="2"/>
      <c r="C1193" s="2"/>
    </row>
    <row r="1194" spans="1:3" ht="12.75">
      <c r="A1194" s="2"/>
      <c r="B1194" s="2"/>
      <c r="C1194" s="2"/>
    </row>
    <row r="1195" spans="1:3" ht="12.75">
      <c r="A1195" s="2"/>
      <c r="B1195" s="2"/>
      <c r="C1195" s="2"/>
    </row>
    <row r="1196" spans="1:3" ht="12.75">
      <c r="A1196" s="2"/>
      <c r="B1196" s="2"/>
      <c r="C1196" s="2"/>
    </row>
    <row r="1197" spans="1:3" ht="12.75">
      <c r="A1197" s="2"/>
      <c r="B1197" s="2"/>
      <c r="C1197" s="2"/>
    </row>
    <row r="1198" spans="1:3" ht="12.75">
      <c r="A1198" s="2"/>
      <c r="B1198" s="2"/>
      <c r="C1198" s="2"/>
    </row>
    <row r="1199" spans="1:3" ht="12.75">
      <c r="A1199" s="2"/>
      <c r="B1199" s="2"/>
      <c r="C1199" s="2"/>
    </row>
    <row r="1200" spans="1:3" ht="12.75">
      <c r="A1200" s="2"/>
      <c r="B1200" s="2"/>
      <c r="C1200" s="2"/>
    </row>
    <row r="1201" spans="1:3" ht="12.75">
      <c r="A1201" s="2"/>
      <c r="B1201" s="2"/>
      <c r="C1201" s="2"/>
    </row>
    <row r="1202" spans="1:3" ht="12.75">
      <c r="A1202" s="2"/>
      <c r="B1202" s="2"/>
      <c r="C1202" s="2"/>
    </row>
    <row r="1203" spans="1:3" ht="12.75">
      <c r="A1203" s="2"/>
      <c r="B1203" s="2"/>
      <c r="C1203" s="2"/>
    </row>
    <row r="1204" spans="1:3" ht="12.75">
      <c r="A1204" s="2"/>
      <c r="B1204" s="2"/>
      <c r="C1204" s="2"/>
    </row>
    <row r="1205" spans="1:3" ht="12.75">
      <c r="A1205" s="2"/>
      <c r="B1205" s="2"/>
      <c r="C1205" s="2"/>
    </row>
    <row r="1206" spans="1:3" ht="12.75">
      <c r="A1206" s="2"/>
      <c r="B1206" s="2"/>
      <c r="C1206" s="2"/>
    </row>
    <row r="1207" spans="1:3" ht="12.75">
      <c r="A1207" s="2"/>
      <c r="B1207" s="2"/>
      <c r="C1207" s="2"/>
    </row>
    <row r="1208" spans="1:3" ht="12.75">
      <c r="A1208" s="2"/>
      <c r="B1208" s="2"/>
      <c r="C1208" s="2"/>
    </row>
    <row r="1209" spans="1:3" ht="12.75">
      <c r="A1209" s="2"/>
      <c r="B1209" s="2"/>
      <c r="C1209" s="2"/>
    </row>
    <row r="1210" spans="1:3" ht="12.75">
      <c r="A1210" s="2"/>
      <c r="B1210" s="2"/>
      <c r="C1210" s="2"/>
    </row>
    <row r="1211" spans="1:3" ht="12.75">
      <c r="A1211" s="2"/>
      <c r="B1211" s="2"/>
      <c r="C1211" s="2"/>
    </row>
    <row r="1212" spans="1:3" ht="12.75">
      <c r="A1212" s="2"/>
      <c r="B1212" s="2"/>
      <c r="C1212" s="2"/>
    </row>
    <row r="1213" spans="1:3" ht="12.75">
      <c r="A1213" s="2"/>
      <c r="B1213" s="2"/>
      <c r="C1213" s="2"/>
    </row>
    <row r="1214" spans="1:3" ht="12.75">
      <c r="A1214" s="2"/>
      <c r="B1214" s="2"/>
      <c r="C1214" s="2"/>
    </row>
    <row r="1215" spans="1:3" ht="12.75">
      <c r="A1215" s="2"/>
      <c r="B1215" s="2"/>
      <c r="C1215" s="2"/>
    </row>
    <row r="1216" spans="1:3" ht="12.75">
      <c r="A1216" s="2"/>
      <c r="B1216" s="2"/>
      <c r="C1216" s="2"/>
    </row>
    <row r="1217" spans="1:3" ht="12.75">
      <c r="A1217" s="2"/>
      <c r="B1217" s="2"/>
      <c r="C1217" s="2"/>
    </row>
    <row r="1218" spans="1:3" ht="12.75">
      <c r="A1218" s="2"/>
      <c r="B1218" s="2"/>
      <c r="C1218" s="2"/>
    </row>
    <row r="1219" spans="1:3" ht="12.75">
      <c r="A1219" s="2"/>
      <c r="B1219" s="2"/>
      <c r="C1219" s="2"/>
    </row>
    <row r="1220" spans="1:3" ht="12.75">
      <c r="A1220" s="2"/>
      <c r="B1220" s="2"/>
      <c r="C1220" s="2"/>
    </row>
    <row r="1221" spans="1:3" ht="12.75">
      <c r="A1221" s="2"/>
      <c r="B1221" s="2"/>
      <c r="C1221" s="2"/>
    </row>
    <row r="1222" spans="1:3" ht="12.75">
      <c r="A1222" s="2"/>
      <c r="B1222" s="2"/>
      <c r="C1222" s="2"/>
    </row>
    <row r="1223" spans="1:3" ht="12.75">
      <c r="A1223" s="2"/>
      <c r="B1223" s="2"/>
      <c r="C1223" s="2"/>
    </row>
    <row r="1224" spans="1:3" ht="12.75">
      <c r="A1224" s="2"/>
      <c r="B1224" s="2"/>
      <c r="C1224" s="2"/>
    </row>
    <row r="1225" spans="1:3" ht="12.75">
      <c r="A1225" s="2"/>
      <c r="B1225" s="2"/>
      <c r="C1225" s="2"/>
    </row>
    <row r="1226" spans="1:3" ht="12.75">
      <c r="A1226" s="2"/>
      <c r="B1226" s="2"/>
      <c r="C1226" s="2"/>
    </row>
    <row r="1227" spans="1:3" ht="12.75">
      <c r="A1227" s="2"/>
      <c r="B1227" s="2"/>
      <c r="C1227" s="2"/>
    </row>
    <row r="1228" spans="1:3" ht="12.75">
      <c r="A1228" s="2"/>
      <c r="B1228" s="2"/>
      <c r="C1228" s="2"/>
    </row>
    <row r="1229" spans="1:3" ht="12.75">
      <c r="A1229" s="2"/>
      <c r="B1229" s="2"/>
      <c r="C1229" s="2"/>
    </row>
    <row r="1230" spans="1:3" ht="12.75">
      <c r="A1230" s="2"/>
      <c r="B1230" s="2"/>
      <c r="C1230" s="2"/>
    </row>
    <row r="1231" spans="1:3" ht="12.75">
      <c r="A1231" s="2"/>
      <c r="B1231" s="2"/>
      <c r="C1231" s="2"/>
    </row>
    <row r="1232" spans="1:3" ht="12.75">
      <c r="A1232" s="2"/>
      <c r="B1232" s="2"/>
      <c r="C1232" s="2"/>
    </row>
    <row r="1233" spans="1:3" ht="12.75">
      <c r="A1233" s="2"/>
      <c r="B1233" s="2"/>
      <c r="C1233" s="2"/>
    </row>
    <row r="1234" spans="1:3" ht="12.75">
      <c r="A1234" s="2"/>
      <c r="B1234" s="2"/>
      <c r="C1234" s="2"/>
    </row>
    <row r="1235" spans="1:3" ht="12.75">
      <c r="A1235" s="2"/>
      <c r="B1235" s="2"/>
      <c r="C1235" s="2"/>
    </row>
    <row r="1236" spans="1:3" ht="12.75">
      <c r="A1236" s="2"/>
      <c r="B1236" s="2"/>
      <c r="C1236" s="2"/>
    </row>
    <row r="1237" spans="1:3" ht="12.75">
      <c r="A1237" s="2"/>
      <c r="B1237" s="2"/>
      <c r="C1237" s="2"/>
    </row>
    <row r="1238" spans="1:3" ht="12.75">
      <c r="A1238" s="2"/>
      <c r="B1238" s="2"/>
      <c r="C1238" s="2"/>
    </row>
    <row r="1239" spans="1:3" ht="12.75">
      <c r="A1239" s="2"/>
      <c r="B1239" s="2"/>
      <c r="C1239" s="2"/>
    </row>
    <row r="1240" spans="1:3" ht="12.75">
      <c r="A1240" s="2"/>
      <c r="B1240" s="2"/>
      <c r="C1240" s="2"/>
    </row>
    <row r="1241" spans="1:3" ht="12.75">
      <c r="A1241" s="2"/>
      <c r="B1241" s="2"/>
      <c r="C1241" s="2"/>
    </row>
    <row r="1242" spans="1:3" ht="12.75">
      <c r="A1242" s="2"/>
      <c r="B1242" s="2"/>
      <c r="C1242" s="2"/>
    </row>
    <row r="1243" spans="1:3" ht="12.75">
      <c r="A1243" s="2"/>
      <c r="B1243" s="2"/>
      <c r="C1243" s="2"/>
    </row>
    <row r="1244" spans="1:3" ht="12.75">
      <c r="A1244" s="2"/>
      <c r="B1244" s="2"/>
      <c r="C1244" s="2"/>
    </row>
    <row r="1245" spans="1:3" ht="12.75">
      <c r="A1245" s="2"/>
      <c r="B1245" s="2"/>
      <c r="C1245" s="2"/>
    </row>
    <row r="1246" spans="1:3" ht="12.75">
      <c r="A1246" s="2"/>
      <c r="B1246" s="2"/>
      <c r="C1246" s="2"/>
    </row>
    <row r="1247" spans="1:3" ht="12.75">
      <c r="A1247" s="2"/>
      <c r="B1247" s="2"/>
      <c r="C1247" s="2"/>
    </row>
    <row r="1248" spans="1:3" ht="12.75">
      <c r="A1248" s="2"/>
      <c r="B1248" s="2"/>
      <c r="C1248" s="2"/>
    </row>
    <row r="1249" spans="1:3" ht="12.75">
      <c r="A1249" s="2"/>
      <c r="B1249" s="2"/>
      <c r="C1249" s="2"/>
    </row>
    <row r="1250" spans="1:3" ht="12.75">
      <c r="A1250" s="2"/>
      <c r="B1250" s="2"/>
      <c r="C1250" s="2"/>
    </row>
    <row r="1251" spans="1:3" ht="12.75">
      <c r="A1251" s="2"/>
      <c r="B1251" s="2"/>
      <c r="C1251" s="2"/>
    </row>
    <row r="1252" spans="1:3" ht="12.75">
      <c r="A1252" s="2"/>
      <c r="B1252" s="2"/>
      <c r="C1252" s="2"/>
    </row>
    <row r="1253" spans="1:3" ht="12.75">
      <c r="A1253" s="2"/>
      <c r="B1253" s="2"/>
      <c r="C1253" s="2"/>
    </row>
    <row r="1254" spans="1:3" ht="12.75">
      <c r="A1254" s="2"/>
      <c r="B1254" s="2"/>
      <c r="C1254" s="2"/>
    </row>
    <row r="1255" spans="1:3" ht="12.75">
      <c r="A1255" s="2"/>
      <c r="B1255" s="2"/>
      <c r="C1255" s="2"/>
    </row>
    <row r="1256" spans="1:3" ht="12.75">
      <c r="A1256" s="2"/>
      <c r="B1256" s="2"/>
      <c r="C1256" s="2"/>
    </row>
    <row r="1257" spans="1:3" ht="12.75">
      <c r="A1257" s="2"/>
      <c r="B1257" s="2"/>
      <c r="C1257" s="2"/>
    </row>
    <row r="1258" spans="1:3" ht="12.75">
      <c r="A1258" s="2"/>
      <c r="B1258" s="2"/>
      <c r="C1258" s="2"/>
    </row>
    <row r="1259" spans="1:3" ht="12.75">
      <c r="A1259" s="2"/>
      <c r="B1259" s="2"/>
      <c r="C1259" s="2"/>
    </row>
    <row r="1260" spans="1:3" ht="12.75">
      <c r="A1260" s="2"/>
      <c r="B1260" s="2"/>
      <c r="C1260" s="2"/>
    </row>
    <row r="1261" spans="1:3" ht="12.75">
      <c r="A1261" s="2"/>
      <c r="B1261" s="2"/>
      <c r="C1261" s="2"/>
    </row>
    <row r="1262" spans="1:3" ht="12.75">
      <c r="A1262" s="2"/>
      <c r="B1262" s="2"/>
      <c r="C1262" s="2"/>
    </row>
    <row r="1263" spans="1:3" ht="12.75">
      <c r="A1263" s="2"/>
      <c r="B1263" s="2"/>
      <c r="C1263" s="2"/>
    </row>
    <row r="1264" spans="1:3" ht="12.75">
      <c r="A1264" s="2"/>
      <c r="B1264" s="2"/>
      <c r="C1264" s="2"/>
    </row>
    <row r="1265" spans="1:3" ht="12.75">
      <c r="A1265" s="2"/>
      <c r="B1265" s="2"/>
      <c r="C1265" s="2"/>
    </row>
    <row r="1266" spans="1:3" ht="12.75">
      <c r="A1266" s="2"/>
      <c r="B1266" s="2"/>
      <c r="C1266" s="2"/>
    </row>
    <row r="1267" spans="1:3" ht="12.75">
      <c r="A1267" s="2"/>
      <c r="B1267" s="2"/>
      <c r="C1267" s="2"/>
    </row>
    <row r="1268" spans="1:3" ht="12.75">
      <c r="A1268" s="2"/>
      <c r="B1268" s="2"/>
      <c r="C1268" s="2"/>
    </row>
    <row r="1269" spans="1:3" ht="12.75">
      <c r="A1269" s="2"/>
      <c r="B1269" s="2"/>
      <c r="C1269" s="2"/>
    </row>
    <row r="1270" spans="1:3" ht="12.75">
      <c r="A1270" s="2"/>
      <c r="B1270" s="2"/>
      <c r="C1270" s="2"/>
    </row>
    <row r="1271" spans="1:3" ht="12.75">
      <c r="A1271" s="2"/>
      <c r="B1271" s="2"/>
      <c r="C1271" s="2"/>
    </row>
    <row r="1272" spans="1:3" ht="12.75">
      <c r="A1272" s="2"/>
      <c r="B1272" s="2"/>
      <c r="C1272" s="2"/>
    </row>
    <row r="1273" spans="1:3" ht="12.75">
      <c r="A1273" s="2"/>
      <c r="B1273" s="2"/>
      <c r="C1273" s="2"/>
    </row>
    <row r="1274" spans="1:3" ht="12.75">
      <c r="A1274" s="2"/>
      <c r="B1274" s="2"/>
      <c r="C1274" s="2"/>
    </row>
    <row r="1275" spans="1:3" ht="12.75">
      <c r="A1275" s="2"/>
      <c r="B1275" s="2"/>
      <c r="C1275" s="2"/>
    </row>
    <row r="1276" spans="1:3" ht="12.75">
      <c r="A1276" s="2"/>
      <c r="B1276" s="2"/>
      <c r="C1276" s="2"/>
    </row>
    <row r="1277" spans="1:3" ht="12.75">
      <c r="A1277" s="2"/>
      <c r="B1277" s="2"/>
      <c r="C1277" s="2"/>
    </row>
    <row r="1278" spans="1:3" ht="12.75">
      <c r="A1278" s="2"/>
      <c r="B1278" s="2"/>
      <c r="C1278" s="2"/>
    </row>
    <row r="1279" spans="1:3" ht="12.75">
      <c r="A1279" s="2"/>
      <c r="B1279" s="2"/>
      <c r="C1279" s="2"/>
    </row>
    <row r="1280" spans="1:3" ht="12.75">
      <c r="A1280" s="2"/>
      <c r="B1280" s="2"/>
      <c r="C1280" s="2"/>
    </row>
    <row r="1281" spans="1:3" ht="12.75">
      <c r="A1281" s="2"/>
      <c r="B1281" s="2"/>
      <c r="C1281" s="2"/>
    </row>
    <row r="1282" spans="1:3" ht="12.75">
      <c r="A1282" s="2"/>
      <c r="B1282" s="2"/>
      <c r="C1282" s="2"/>
    </row>
    <row r="1283" spans="1:3" ht="12.75">
      <c r="A1283" s="2"/>
      <c r="B1283" s="2"/>
      <c r="C1283" s="2"/>
    </row>
    <row r="1284" spans="1:3" ht="12.75">
      <c r="A1284" s="2"/>
      <c r="B1284" s="2"/>
      <c r="C1284" s="2"/>
    </row>
    <row r="1285" spans="1:3" ht="12.75">
      <c r="A1285" s="2"/>
      <c r="B1285" s="2"/>
      <c r="C1285" s="2"/>
    </row>
    <row r="1286" spans="1:3" ht="12.75">
      <c r="A1286" s="2"/>
      <c r="B1286" s="2"/>
      <c r="C1286" s="2"/>
    </row>
    <row r="1287" spans="1:3" ht="12.75">
      <c r="A1287" s="2"/>
      <c r="B1287" s="2"/>
      <c r="C1287" s="2"/>
    </row>
    <row r="1288" spans="1:3" ht="12.75">
      <c r="A1288" s="2"/>
      <c r="B1288" s="2"/>
      <c r="C1288" s="2"/>
    </row>
    <row r="1289" spans="1:3" ht="12.75">
      <c r="A1289" s="2"/>
      <c r="B1289" s="2"/>
      <c r="C1289" s="2"/>
    </row>
    <row r="1290" spans="1:3" ht="12.75">
      <c r="A1290" s="2"/>
      <c r="B1290" s="2"/>
      <c r="C1290" s="2"/>
    </row>
    <row r="1291" spans="1:3" ht="12.75">
      <c r="A1291" s="2"/>
      <c r="B1291" s="2"/>
      <c r="C1291" s="2"/>
    </row>
    <row r="1292" spans="1:3" ht="12.75">
      <c r="A1292" s="2"/>
      <c r="B1292" s="2"/>
      <c r="C1292" s="2"/>
    </row>
    <row r="1293" spans="1:3" ht="12.75">
      <c r="A1293" s="2"/>
      <c r="B1293" s="2"/>
      <c r="C1293" s="2"/>
    </row>
    <row r="1294" spans="1:3" ht="12.75">
      <c r="A1294" s="2"/>
      <c r="B1294" s="2"/>
      <c r="C1294" s="2"/>
    </row>
    <row r="1295" spans="1:3" ht="12.75">
      <c r="A1295" s="2"/>
      <c r="B1295" s="2"/>
      <c r="C1295" s="2"/>
    </row>
    <row r="1296" spans="1:3" ht="12.75">
      <c r="A1296" s="2"/>
      <c r="B1296" s="2"/>
      <c r="C1296" s="2"/>
    </row>
    <row r="1297" spans="1:3" ht="12.75">
      <c r="A1297" s="2"/>
      <c r="B1297" s="2"/>
      <c r="C1297" s="2"/>
    </row>
    <row r="1298" spans="1:3" ht="12.75">
      <c r="A1298" s="2"/>
      <c r="B1298" s="2"/>
      <c r="C1298" s="2"/>
    </row>
    <row r="1299" spans="1:3" ht="12.75">
      <c r="A1299" s="2"/>
      <c r="B1299" s="2"/>
      <c r="C1299" s="2"/>
    </row>
    <row r="1300" spans="1:3" ht="12.75">
      <c r="A1300" s="2"/>
      <c r="B1300" s="2"/>
      <c r="C1300" s="2"/>
    </row>
    <row r="1301" spans="1:3" ht="12.75">
      <c r="A1301" s="2"/>
      <c r="B1301" s="2"/>
      <c r="C1301" s="2"/>
    </row>
    <row r="1302" spans="1:3" ht="12.75">
      <c r="A1302" s="2"/>
      <c r="B1302" s="2"/>
      <c r="C1302" s="2"/>
    </row>
    <row r="1303" spans="1:3" ht="12.75">
      <c r="A1303" s="2"/>
      <c r="B1303" s="2"/>
      <c r="C1303" s="2"/>
    </row>
    <row r="1304" spans="1:3" ht="12.75">
      <c r="A1304" s="2"/>
      <c r="B1304" s="2"/>
      <c r="C1304" s="2"/>
    </row>
    <row r="1305" spans="1:3" ht="12.75">
      <c r="A1305" s="2"/>
      <c r="B1305" s="2"/>
      <c r="C1305" s="2"/>
    </row>
    <row r="1306" spans="1:3" ht="12.75">
      <c r="A1306" s="2"/>
      <c r="B1306" s="2"/>
      <c r="C1306" s="2"/>
    </row>
    <row r="1307" spans="1:3" ht="12.75">
      <c r="A1307" s="2"/>
      <c r="B1307" s="2"/>
      <c r="C1307" s="2"/>
    </row>
    <row r="1308" spans="1:3" ht="12.75">
      <c r="A1308" s="2"/>
      <c r="B1308" s="2"/>
      <c r="C1308" s="2"/>
    </row>
    <row r="1309" spans="1:3" ht="12.75">
      <c r="A1309" s="2"/>
      <c r="B1309" s="2"/>
      <c r="C1309" s="2"/>
    </row>
    <row r="1310" spans="1:3" ht="12.75">
      <c r="A1310" s="2"/>
      <c r="B1310" s="2"/>
      <c r="C1310" s="2"/>
    </row>
    <row r="1311" spans="1:3" ht="12.75">
      <c r="A1311" s="2"/>
      <c r="B1311" s="2"/>
      <c r="C1311" s="2"/>
    </row>
    <row r="1312" spans="1:3" ht="12.75">
      <c r="A1312" s="2"/>
      <c r="B1312" s="2"/>
      <c r="C1312" s="2"/>
    </row>
    <row r="1313" spans="1:3" ht="12.75">
      <c r="A1313" s="2"/>
      <c r="B1313" s="2"/>
      <c r="C1313" s="2"/>
    </row>
    <row r="1314" spans="1:3" ht="12.75">
      <c r="A1314" s="2"/>
      <c r="B1314" s="2"/>
      <c r="C1314" s="2"/>
    </row>
    <row r="1315" spans="1:3" ht="12.75">
      <c r="A1315" s="2"/>
      <c r="B1315" s="2"/>
      <c r="C1315" s="2"/>
    </row>
    <row r="1316" spans="1:3" ht="12.75">
      <c r="A1316" s="2"/>
      <c r="B1316" s="2"/>
      <c r="C1316" s="2"/>
    </row>
    <row r="1317" spans="1:3" ht="12.75">
      <c r="A1317" s="2"/>
      <c r="B1317" s="2"/>
      <c r="C1317" s="2"/>
    </row>
    <row r="1318" spans="1:3" ht="12.75">
      <c r="A1318" s="2"/>
      <c r="B1318" s="2"/>
      <c r="C1318" s="2"/>
    </row>
    <row r="1319" spans="1:3" ht="12.75">
      <c r="A1319" s="2"/>
      <c r="B1319" s="2"/>
      <c r="C1319" s="2"/>
    </row>
    <row r="1320" spans="1:3" ht="12.75">
      <c r="A1320" s="2"/>
      <c r="B1320" s="2"/>
      <c r="C1320" s="2"/>
    </row>
    <row r="1321" spans="1:3" ht="12.75">
      <c r="A1321" s="2"/>
      <c r="B1321" s="2"/>
      <c r="C1321" s="2"/>
    </row>
    <row r="1322" spans="1:3" ht="12.75">
      <c r="A1322" s="2"/>
      <c r="B1322" s="2"/>
      <c r="C1322" s="2"/>
    </row>
    <row r="1323" spans="1:3" ht="12.75">
      <c r="A1323" s="2"/>
      <c r="B1323" s="2"/>
      <c r="C1323" s="2"/>
    </row>
    <row r="1324" spans="1:3" ht="12.75">
      <c r="A1324" s="2"/>
      <c r="B1324" s="2"/>
      <c r="C1324" s="2"/>
    </row>
    <row r="1325" spans="1:3" ht="12.75">
      <c r="A1325" s="2"/>
      <c r="B1325" s="2"/>
      <c r="C1325" s="2"/>
    </row>
    <row r="1326" spans="1:3" ht="12.75">
      <c r="A1326" s="2"/>
      <c r="B1326" s="2"/>
      <c r="C1326" s="2"/>
    </row>
    <row r="1327" spans="1:3" ht="12.75">
      <c r="A1327" s="2"/>
      <c r="B1327" s="2"/>
      <c r="C1327" s="2"/>
    </row>
    <row r="1328" spans="1:3" ht="12.75">
      <c r="A1328" s="2"/>
      <c r="B1328" s="2"/>
      <c r="C1328" s="2"/>
    </row>
    <row r="1329" spans="1:3" ht="12.75">
      <c r="A1329" s="2"/>
      <c r="B1329" s="2"/>
      <c r="C1329" s="2"/>
    </row>
    <row r="1330" spans="1:3" ht="12.75">
      <c r="A1330" s="2"/>
      <c r="B1330" s="2"/>
      <c r="C1330" s="2"/>
    </row>
    <row r="1331" spans="1:3" ht="12.75">
      <c r="A1331" s="2"/>
      <c r="B1331" s="2"/>
      <c r="C1331" s="2"/>
    </row>
    <row r="1332" spans="1:3" ht="12.75">
      <c r="A1332" s="2"/>
      <c r="B1332" s="2"/>
      <c r="C1332" s="2"/>
    </row>
    <row r="1333" spans="1:3" ht="12.75">
      <c r="A1333" s="2"/>
      <c r="B1333" s="2"/>
      <c r="C1333" s="2"/>
    </row>
    <row r="1334" spans="1:3" ht="12.75">
      <c r="A1334" s="2"/>
      <c r="B1334" s="2"/>
      <c r="C1334" s="2"/>
    </row>
    <row r="1335" spans="1:3" ht="12.75">
      <c r="A1335" s="2"/>
      <c r="B1335" s="2"/>
      <c r="C1335" s="2"/>
    </row>
    <row r="1336" spans="1:3" ht="12.75">
      <c r="A1336" s="2"/>
      <c r="B1336" s="2"/>
      <c r="C1336" s="2"/>
    </row>
    <row r="1337" spans="1:3" ht="12.75">
      <c r="A1337" s="2"/>
      <c r="B1337" s="2"/>
      <c r="C1337" s="2"/>
    </row>
    <row r="1338" spans="1:3" ht="12.75">
      <c r="A1338" s="2"/>
      <c r="B1338" s="2"/>
      <c r="C1338" s="2"/>
    </row>
    <row r="1339" spans="1:3" ht="12.75">
      <c r="A1339" s="2"/>
      <c r="B1339" s="2"/>
      <c r="C1339" s="2"/>
    </row>
    <row r="1340" spans="1:3" ht="12.75">
      <c r="A1340" s="2"/>
      <c r="B1340" s="2"/>
      <c r="C1340" s="2"/>
    </row>
    <row r="1341" spans="1:3" ht="12.75">
      <c r="A1341" s="2"/>
      <c r="B1341" s="2"/>
      <c r="C1341" s="2"/>
    </row>
    <row r="1342" spans="1:3" ht="12.75">
      <c r="A1342" s="2"/>
      <c r="B1342" s="2"/>
      <c r="C1342" s="2"/>
    </row>
    <row r="1343" spans="1:3" ht="12.75">
      <c r="A1343" s="2"/>
      <c r="B1343" s="2"/>
      <c r="C1343" s="2"/>
    </row>
    <row r="1344" spans="1:3" ht="12.75">
      <c r="A1344" s="2"/>
      <c r="B1344" s="2"/>
      <c r="C1344" s="2"/>
    </row>
    <row r="1345" spans="1:3" ht="12.75">
      <c r="A1345" s="2"/>
      <c r="B1345" s="2"/>
      <c r="C1345" s="2"/>
    </row>
    <row r="1346" spans="1:3" ht="12.75">
      <c r="A1346" s="2"/>
      <c r="B1346" s="2"/>
      <c r="C1346" s="2"/>
    </row>
    <row r="1347" spans="1:3" ht="12.75">
      <c r="A1347" s="2"/>
      <c r="B1347" s="2"/>
      <c r="C1347" s="2"/>
    </row>
    <row r="1348" spans="1:3" ht="12.75">
      <c r="A1348" s="2"/>
      <c r="B1348" s="2"/>
      <c r="C1348" s="2"/>
    </row>
    <row r="1349" spans="1:3" ht="12.75">
      <c r="A1349" s="2"/>
      <c r="B1349" s="2"/>
      <c r="C1349" s="2"/>
    </row>
    <row r="1350" spans="1:3" ht="12.75">
      <c r="A1350" s="2"/>
      <c r="B1350" s="2"/>
      <c r="C1350" s="2"/>
    </row>
    <row r="1351" spans="1:3" ht="12.75">
      <c r="A1351" s="2"/>
      <c r="B1351" s="2"/>
      <c r="C1351" s="2"/>
    </row>
    <row r="1352" spans="1:3" ht="12.75">
      <c r="A1352" s="2"/>
      <c r="B1352" s="2"/>
      <c r="C1352" s="2"/>
    </row>
    <row r="1353" spans="1:3" ht="12.75">
      <c r="A1353" s="2"/>
      <c r="B1353" s="2"/>
      <c r="C1353" s="2"/>
    </row>
    <row r="1354" spans="1:3" ht="12.75">
      <c r="A1354" s="2"/>
      <c r="B1354" s="2"/>
      <c r="C1354" s="2"/>
    </row>
    <row r="1355" spans="1:3" ht="12.75">
      <c r="A1355" s="2"/>
      <c r="B1355" s="2"/>
      <c r="C1355" s="2"/>
    </row>
    <row r="1356" spans="1:3" ht="12.75">
      <c r="A1356" s="2"/>
      <c r="B1356" s="2"/>
      <c r="C1356" s="2"/>
    </row>
    <row r="1357" spans="1:3" ht="12.75">
      <c r="A1357" s="2"/>
      <c r="B1357" s="2"/>
      <c r="C1357" s="2"/>
    </row>
    <row r="1358" spans="1:3" ht="12.75">
      <c r="A1358" s="2"/>
      <c r="B1358" s="2"/>
      <c r="C1358" s="2"/>
    </row>
    <row r="1359" spans="1:3" ht="12.75">
      <c r="A1359" s="2"/>
      <c r="B1359" s="2"/>
      <c r="C1359" s="2"/>
    </row>
    <row r="1360" spans="1:3" ht="12.75">
      <c r="A1360" s="2"/>
      <c r="B1360" s="2"/>
      <c r="C1360" s="2"/>
    </row>
    <row r="1361" spans="1:3" ht="12.75">
      <c r="A1361" s="2"/>
      <c r="B1361" s="2"/>
      <c r="C1361" s="2"/>
    </row>
    <row r="1362" spans="1:3" ht="12.75">
      <c r="A1362" s="2"/>
      <c r="B1362" s="2"/>
      <c r="C1362" s="2"/>
    </row>
    <row r="1363" spans="1:3" ht="12.75">
      <c r="A1363" s="2"/>
      <c r="B1363" s="2"/>
      <c r="C1363" s="2"/>
    </row>
    <row r="1364" spans="1:3" ht="12.75">
      <c r="A1364" s="2"/>
      <c r="B1364" s="2"/>
      <c r="C1364" s="2"/>
    </row>
    <row r="1365" spans="1:3" ht="12.75">
      <c r="A1365" s="2"/>
      <c r="B1365" s="2"/>
      <c r="C1365" s="2"/>
    </row>
    <row r="1366" spans="1:3" ht="12.75">
      <c r="A1366" s="2"/>
      <c r="B1366" s="2"/>
      <c r="C1366" s="2"/>
    </row>
    <row r="1367" spans="1:3" ht="12.75">
      <c r="A1367" s="2"/>
      <c r="B1367" s="2"/>
      <c r="C1367" s="2"/>
    </row>
    <row r="1368" spans="1:3" ht="12.75">
      <c r="A1368" s="2"/>
      <c r="B1368" s="2"/>
      <c r="C1368" s="2"/>
    </row>
    <row r="1369" spans="1:3" ht="12.75">
      <c r="A1369" s="2"/>
      <c r="B1369" s="2"/>
      <c r="C1369" s="2"/>
    </row>
    <row r="1370" spans="1:3" ht="12.75">
      <c r="A1370" s="2"/>
      <c r="B1370" s="2"/>
      <c r="C1370" s="2"/>
    </row>
    <row r="1371" spans="1:3" ht="12.75">
      <c r="A1371" s="2"/>
      <c r="B1371" s="2"/>
      <c r="C1371" s="2"/>
    </row>
    <row r="1372" spans="1:3" ht="12.75">
      <c r="A1372" s="2"/>
      <c r="B1372" s="2"/>
      <c r="C1372" s="2"/>
    </row>
    <row r="1373" spans="1:3" ht="12.75">
      <c r="A1373" s="2"/>
      <c r="B1373" s="2"/>
      <c r="C1373" s="2"/>
    </row>
    <row r="1374" spans="1:3" ht="12.75">
      <c r="A1374" s="2"/>
      <c r="B1374" s="2"/>
      <c r="C1374" s="2"/>
    </row>
    <row r="1375" spans="1:3" ht="12.75">
      <c r="A1375" s="2"/>
      <c r="B1375" s="2"/>
      <c r="C1375" s="2"/>
    </row>
    <row r="1376" spans="1:3" ht="12.75">
      <c r="A1376" s="2"/>
      <c r="B1376" s="2"/>
      <c r="C1376" s="2"/>
    </row>
    <row r="1377" spans="1:3" ht="12.75">
      <c r="A1377" s="2"/>
      <c r="B1377" s="2"/>
      <c r="C1377" s="2"/>
    </row>
    <row r="1378" spans="1:3" ht="12.75">
      <c r="A1378" s="2"/>
      <c r="B1378" s="2"/>
      <c r="C1378" s="2"/>
    </row>
    <row r="1379" spans="1:3" ht="12.75">
      <c r="A1379" s="2"/>
      <c r="B1379" s="2"/>
      <c r="C1379" s="2"/>
    </row>
    <row r="1380" spans="1:3" ht="12.75">
      <c r="A1380" s="2"/>
      <c r="B1380" s="2"/>
      <c r="C1380" s="2"/>
    </row>
    <row r="1381" spans="1:3" ht="12.75">
      <c r="A1381" s="2"/>
      <c r="B1381" s="2"/>
      <c r="C1381" s="2"/>
    </row>
    <row r="1382" spans="1:3" ht="12.75">
      <c r="A1382" s="2"/>
      <c r="B1382" s="2"/>
      <c r="C1382" s="2"/>
    </row>
    <row r="1383" spans="1:3" ht="12.75">
      <c r="A1383" s="2"/>
      <c r="B1383" s="2"/>
      <c r="C1383" s="2"/>
    </row>
    <row r="1384" spans="1:3" ht="12.75">
      <c r="A1384" s="2"/>
      <c r="B1384" s="2"/>
      <c r="C1384" s="2"/>
    </row>
    <row r="1385" spans="1:3" ht="12.75">
      <c r="A1385" s="2"/>
      <c r="B1385" s="2"/>
      <c r="C1385" s="2"/>
    </row>
    <row r="1386" spans="1:3" ht="12.75">
      <c r="A1386" s="2"/>
      <c r="B1386" s="2"/>
      <c r="C1386" s="2"/>
    </row>
    <row r="1387" spans="1:3" ht="12.75">
      <c r="A1387" s="2"/>
      <c r="B1387" s="2"/>
      <c r="C1387" s="2"/>
    </row>
    <row r="1388" spans="1:3" ht="12.75">
      <c r="A1388" s="2"/>
      <c r="B1388" s="2"/>
      <c r="C1388" s="2"/>
    </row>
    <row r="1389" spans="1:3" ht="12.75">
      <c r="A1389" s="2"/>
      <c r="B1389" s="2"/>
      <c r="C1389" s="2"/>
    </row>
    <row r="1390" spans="1:3" ht="12.75">
      <c r="A1390" s="2"/>
      <c r="B1390" s="2"/>
      <c r="C1390" s="2"/>
    </row>
    <row r="1391" spans="1:3" ht="12.75">
      <c r="A1391" s="2"/>
      <c r="B1391" s="2"/>
      <c r="C1391" s="2"/>
    </row>
    <row r="1392" spans="1:3" ht="12.75">
      <c r="A1392" s="2"/>
      <c r="B1392" s="2"/>
      <c r="C1392" s="2"/>
    </row>
    <row r="1393" spans="1:3" ht="12.75">
      <c r="A1393" s="2"/>
      <c r="B1393" s="2"/>
      <c r="C1393" s="2"/>
    </row>
    <row r="1394" spans="1:3" ht="12.75">
      <c r="A1394" s="2"/>
      <c r="B1394" s="2"/>
      <c r="C1394" s="2"/>
    </row>
    <row r="1395" spans="1:3" ht="12.75">
      <c r="A1395" s="2"/>
      <c r="B1395" s="2"/>
      <c r="C1395" s="2"/>
    </row>
    <row r="1396" spans="1:3" ht="12.75">
      <c r="A1396" s="2"/>
      <c r="B1396" s="2"/>
      <c r="C1396" s="2"/>
    </row>
    <row r="1397" spans="1:3" ht="12.75">
      <c r="A1397" s="2"/>
      <c r="B1397" s="2"/>
      <c r="C1397" s="2"/>
    </row>
    <row r="1398" spans="1:3" ht="12.75">
      <c r="A1398" s="2"/>
      <c r="B1398" s="2"/>
      <c r="C1398" s="2"/>
    </row>
    <row r="1399" spans="1:3" ht="12.75">
      <c r="A1399" s="2"/>
      <c r="B1399" s="2"/>
      <c r="C1399" s="2"/>
    </row>
    <row r="1400" spans="1:3" ht="12.75">
      <c r="A1400" s="2"/>
      <c r="B1400" s="2"/>
      <c r="C1400" s="2"/>
    </row>
    <row r="1401" spans="1:3" ht="12.75">
      <c r="A1401" s="2"/>
      <c r="B1401" s="2"/>
      <c r="C1401" s="2"/>
    </row>
    <row r="1402" spans="1:3" ht="12.75">
      <c r="A1402" s="2"/>
      <c r="B1402" s="2"/>
      <c r="C1402" s="2"/>
    </row>
    <row r="1403" spans="1:3" ht="12.75">
      <c r="A1403" s="2"/>
      <c r="B1403" s="2"/>
      <c r="C1403" s="2"/>
    </row>
    <row r="1404" spans="1:3" ht="12.75">
      <c r="A1404" s="2"/>
      <c r="B1404" s="2"/>
      <c r="C1404" s="2"/>
    </row>
    <row r="1405" spans="1:3" ht="12.75">
      <c r="A1405" s="2"/>
      <c r="B1405" s="2"/>
      <c r="C1405" s="2"/>
    </row>
    <row r="1406" spans="1:3" ht="12.75">
      <c r="A1406" s="2"/>
      <c r="B1406" s="2"/>
      <c r="C1406" s="2"/>
    </row>
    <row r="1407" spans="1:3" ht="12.75">
      <c r="A1407" s="2"/>
      <c r="B1407" s="2"/>
      <c r="C1407" s="2"/>
    </row>
    <row r="1408" spans="1:3" ht="12.75">
      <c r="A1408" s="2"/>
      <c r="B1408" s="2"/>
      <c r="C1408" s="2"/>
    </row>
    <row r="1409" spans="1:3" ht="12.75">
      <c r="A1409" s="2"/>
      <c r="B1409" s="2"/>
      <c r="C1409" s="2"/>
    </row>
    <row r="1410" spans="1:3" ht="12.75">
      <c r="A1410" s="2"/>
      <c r="B1410" s="2"/>
      <c r="C1410" s="2"/>
    </row>
    <row r="1411" spans="1:3" ht="12.75">
      <c r="A1411" s="2"/>
      <c r="B1411" s="2"/>
      <c r="C1411" s="2"/>
    </row>
    <row r="1412" spans="1:3" ht="12.75">
      <c r="A1412" s="2"/>
      <c r="B1412" s="2"/>
      <c r="C1412" s="2"/>
    </row>
    <row r="1413" spans="1:3" ht="12.75">
      <c r="A1413" s="2"/>
      <c r="B1413" s="2"/>
      <c r="C1413" s="2"/>
    </row>
    <row r="1414" spans="1:3" ht="12.75">
      <c r="A1414" s="2"/>
      <c r="B1414" s="2"/>
      <c r="C1414" s="2"/>
    </row>
    <row r="1415" spans="1:3" ht="12.75">
      <c r="A1415" s="2"/>
      <c r="B1415" s="2"/>
      <c r="C1415" s="2"/>
    </row>
    <row r="1416" spans="1:3" ht="12.75">
      <c r="A1416" s="2"/>
      <c r="B1416" s="2"/>
      <c r="C1416" s="2"/>
    </row>
    <row r="1417" spans="1:3" ht="12.75">
      <c r="A1417" s="2"/>
      <c r="B1417" s="2"/>
      <c r="C1417" s="2"/>
    </row>
    <row r="1418" spans="1:3" ht="12.75">
      <c r="A1418" s="2"/>
      <c r="B1418" s="2"/>
      <c r="C1418" s="2"/>
    </row>
    <row r="1419" spans="1:3" ht="12.75">
      <c r="A1419" s="2"/>
      <c r="B1419" s="2"/>
      <c r="C1419" s="2"/>
    </row>
    <row r="1420" spans="1:3" ht="12.75">
      <c r="A1420" s="2"/>
      <c r="B1420" s="2"/>
      <c r="C1420" s="2"/>
    </row>
    <row r="1421" spans="1:3" ht="12.75">
      <c r="A1421" s="2"/>
      <c r="B1421" s="2"/>
      <c r="C1421" s="2"/>
    </row>
    <row r="1422" spans="1:3" ht="12.75">
      <c r="A1422" s="2"/>
      <c r="B1422" s="2"/>
      <c r="C1422" s="2"/>
    </row>
    <row r="1423" spans="1:3" ht="12.75">
      <c r="A1423" s="2"/>
      <c r="B1423" s="2"/>
      <c r="C1423" s="2"/>
    </row>
    <row r="1424" spans="1:3" ht="12.75">
      <c r="A1424" s="2"/>
      <c r="B1424" s="2"/>
      <c r="C1424" s="2"/>
    </row>
    <row r="1425" spans="1:3" ht="12.75">
      <c r="A1425" s="2"/>
      <c r="B1425" s="2"/>
      <c r="C1425" s="2"/>
    </row>
    <row r="1426" spans="1:3" ht="12.75">
      <c r="A1426" s="2"/>
      <c r="B1426" s="2"/>
      <c r="C1426" s="2"/>
    </row>
    <row r="1427" spans="1:3" ht="12.75">
      <c r="A1427" s="2"/>
      <c r="B1427" s="2"/>
      <c r="C1427" s="2"/>
    </row>
    <row r="1428" spans="1:3" ht="12.75">
      <c r="A1428" s="2"/>
      <c r="B1428" s="2"/>
      <c r="C1428" s="2"/>
    </row>
    <row r="1429" spans="1:3" ht="12.75">
      <c r="A1429" s="2"/>
      <c r="B1429" s="2"/>
      <c r="C1429" s="2"/>
    </row>
    <row r="1430" spans="1:3" ht="12.75">
      <c r="A1430" s="2"/>
      <c r="B1430" s="2"/>
      <c r="C1430" s="2"/>
    </row>
    <row r="1431" spans="1:3" ht="12.75">
      <c r="A1431" s="2"/>
      <c r="B1431" s="2"/>
      <c r="C1431" s="2"/>
    </row>
    <row r="1432" spans="1:3" ht="12.75">
      <c r="A1432" s="2"/>
      <c r="B1432" s="2"/>
      <c r="C1432" s="2"/>
    </row>
    <row r="1433" spans="1:3" ht="12.75">
      <c r="A1433" s="2"/>
      <c r="B1433" s="2"/>
      <c r="C1433" s="2"/>
    </row>
    <row r="1434" spans="1:3" ht="12.75">
      <c r="A1434" s="2"/>
      <c r="B1434" s="2"/>
      <c r="C1434" s="2"/>
    </row>
    <row r="1435" spans="1:3" ht="12.75">
      <c r="A1435" s="2"/>
      <c r="B1435" s="2"/>
      <c r="C1435" s="2"/>
    </row>
    <row r="1436" spans="1:3" ht="12.75">
      <c r="A1436" s="2"/>
      <c r="B1436" s="2"/>
      <c r="C1436" s="2"/>
    </row>
    <row r="1437" spans="1:3" ht="12.75">
      <c r="A1437" s="2"/>
      <c r="B1437" s="2"/>
      <c r="C1437" s="2"/>
    </row>
    <row r="1438" spans="1:3" ht="12.75">
      <c r="A1438" s="2"/>
      <c r="B1438" s="2"/>
      <c r="C1438" s="2"/>
    </row>
    <row r="1439" spans="1:3" ht="12.75">
      <c r="A1439" s="2"/>
      <c r="B1439" s="2"/>
      <c r="C1439" s="2"/>
    </row>
    <row r="1440" spans="1:3" ht="12.75">
      <c r="A1440" s="2"/>
      <c r="B1440" s="2"/>
      <c r="C1440" s="2"/>
    </row>
    <row r="1441" spans="1:3" ht="12.75">
      <c r="A1441" s="2"/>
      <c r="B1441" s="2"/>
      <c r="C1441" s="2"/>
    </row>
    <row r="1442" spans="1:3" ht="12.75">
      <c r="A1442" s="2"/>
      <c r="B1442" s="2"/>
      <c r="C1442" s="2"/>
    </row>
    <row r="1443" spans="1:3" ht="12.75">
      <c r="A1443" s="2"/>
      <c r="B1443" s="2"/>
      <c r="C1443" s="2"/>
    </row>
    <row r="1444" spans="1:3" ht="12.75">
      <c r="A1444" s="2"/>
      <c r="B1444" s="2"/>
      <c r="C1444" s="2"/>
    </row>
    <row r="1445" spans="1:3" ht="12.75">
      <c r="A1445" s="2"/>
      <c r="B1445" s="2"/>
      <c r="C1445" s="2"/>
    </row>
    <row r="1446" spans="1:3" ht="12.75">
      <c r="A1446" s="2"/>
      <c r="B1446" s="2"/>
      <c r="C1446" s="2"/>
    </row>
    <row r="1447" spans="1:3" ht="12.75">
      <c r="A1447" s="2"/>
      <c r="B1447" s="2"/>
      <c r="C1447" s="2"/>
    </row>
    <row r="1448" spans="1:3" ht="12.75">
      <c r="A1448" s="2"/>
      <c r="B1448" s="2"/>
      <c r="C1448" s="2"/>
    </row>
    <row r="1449" spans="1:3" ht="12.75">
      <c r="A1449" s="2"/>
      <c r="B1449" s="2"/>
      <c r="C1449" s="2"/>
    </row>
    <row r="1450" spans="1:3" ht="12.75">
      <c r="A1450" s="2"/>
      <c r="B1450" s="2"/>
      <c r="C1450" s="2"/>
    </row>
    <row r="1451" spans="1:3" ht="12.75">
      <c r="A1451" s="2"/>
      <c r="B1451" s="2"/>
      <c r="C1451" s="2"/>
    </row>
    <row r="1452" spans="1:3" ht="12.75">
      <c r="A1452" s="2"/>
      <c r="B1452" s="2"/>
      <c r="C1452" s="2"/>
    </row>
    <row r="1453" spans="1:3" ht="12.75">
      <c r="A1453" s="2"/>
      <c r="B1453" s="2"/>
      <c r="C1453" s="2"/>
    </row>
    <row r="1454" spans="1:3" ht="12.75">
      <c r="A1454" s="2"/>
      <c r="B1454" s="2"/>
      <c r="C1454" s="2"/>
    </row>
    <row r="1455" spans="1:3" ht="12.75">
      <c r="A1455" s="2"/>
      <c r="B1455" s="2"/>
      <c r="C1455" s="2"/>
    </row>
    <row r="1456" spans="1:3" ht="12.75">
      <c r="A1456" s="2"/>
      <c r="B1456" s="2"/>
      <c r="C1456" s="2"/>
    </row>
    <row r="1457" spans="1:3" ht="12.75">
      <c r="A1457" s="2"/>
      <c r="B1457" s="2"/>
      <c r="C1457" s="2"/>
    </row>
    <row r="1458" spans="1:3" ht="12.75">
      <c r="A1458" s="2"/>
      <c r="B1458" s="2"/>
      <c r="C1458" s="2"/>
    </row>
    <row r="1459" spans="1:3" ht="12.75">
      <c r="A1459" s="2"/>
      <c r="B1459" s="2"/>
      <c r="C1459" s="2"/>
    </row>
    <row r="1460" spans="1:3" ht="12.75">
      <c r="A1460" s="2"/>
      <c r="B1460" s="2"/>
      <c r="C1460" s="2"/>
    </row>
    <row r="1461" spans="1:3" ht="12.75">
      <c r="A1461" s="2"/>
      <c r="B1461" s="2"/>
      <c r="C1461" s="2"/>
    </row>
    <row r="1462" spans="1:3" ht="12.75">
      <c r="A1462" s="2"/>
      <c r="B1462" s="2"/>
      <c r="C1462" s="2"/>
    </row>
    <row r="1463" spans="1:3" ht="12.75">
      <c r="A1463" s="2"/>
      <c r="B1463" s="2"/>
      <c r="C1463" s="2"/>
    </row>
    <row r="1464" spans="1:3" ht="12.75">
      <c r="A1464" s="2"/>
      <c r="B1464" s="2"/>
      <c r="C1464" s="2"/>
    </row>
    <row r="1465" spans="1:3" ht="12.75">
      <c r="A1465" s="2"/>
      <c r="B1465" s="2"/>
      <c r="C1465" s="2"/>
    </row>
    <row r="1466" spans="1:3" ht="12.75">
      <c r="A1466" s="2"/>
      <c r="B1466" s="2"/>
      <c r="C1466" s="2"/>
    </row>
    <row r="1467" spans="1:3" ht="12.75">
      <c r="A1467" s="2"/>
      <c r="B1467" s="2"/>
      <c r="C1467" s="2"/>
    </row>
    <row r="1468" spans="1:3" ht="12.75">
      <c r="A1468" s="2"/>
      <c r="B1468" s="2"/>
      <c r="C1468" s="2"/>
    </row>
    <row r="1469" spans="1:3" ht="12.75">
      <c r="A1469" s="2"/>
      <c r="B1469" s="2"/>
      <c r="C1469" s="2"/>
    </row>
    <row r="1470" spans="1:3" ht="12.75">
      <c r="A1470" s="2"/>
      <c r="B1470" s="2"/>
      <c r="C1470" s="2"/>
    </row>
    <row r="1471" spans="1:3" ht="12.75">
      <c r="A1471" s="2"/>
      <c r="B1471" s="2"/>
      <c r="C1471" s="2"/>
    </row>
    <row r="1472" spans="1:3" ht="12.75">
      <c r="A1472" s="2"/>
      <c r="B1472" s="2"/>
      <c r="C1472" s="2"/>
    </row>
    <row r="1473" spans="1:3" ht="12.75">
      <c r="A1473" s="2"/>
      <c r="B1473" s="2"/>
      <c r="C1473" s="2"/>
    </row>
    <row r="1474" spans="1:3" ht="12.75">
      <c r="A1474" s="2"/>
      <c r="B1474" s="2"/>
      <c r="C1474" s="2"/>
    </row>
    <row r="1475" spans="1:3" ht="12.75">
      <c r="A1475" s="2"/>
      <c r="B1475" s="2"/>
      <c r="C1475" s="2"/>
    </row>
    <row r="1476" spans="1:3" ht="12.75">
      <c r="A1476" s="2"/>
      <c r="B1476" s="2"/>
      <c r="C1476" s="2"/>
    </row>
    <row r="1477" spans="1:3" ht="12.75">
      <c r="A1477" s="2"/>
      <c r="B1477" s="2"/>
      <c r="C1477" s="2"/>
    </row>
    <row r="1478" spans="1:3" ht="12.75">
      <c r="A1478" s="2"/>
      <c r="B1478" s="2"/>
      <c r="C1478" s="2"/>
    </row>
    <row r="1479" spans="1:3" ht="12.75">
      <c r="A1479" s="2"/>
      <c r="B1479" s="2"/>
      <c r="C1479" s="2"/>
    </row>
    <row r="1480" spans="1:3" ht="12.75">
      <c r="A1480" s="2"/>
      <c r="B1480" s="2"/>
      <c r="C1480" s="2"/>
    </row>
    <row r="1481" spans="1:3" ht="12.75">
      <c r="A1481" s="2"/>
      <c r="B1481" s="2"/>
      <c r="C1481" s="2"/>
    </row>
    <row r="1482" spans="1:3" ht="12.75">
      <c r="A1482" s="2"/>
      <c r="B1482" s="2"/>
      <c r="C1482" s="2"/>
    </row>
    <row r="1483" spans="1:3" ht="12.75">
      <c r="A1483" s="2"/>
      <c r="B1483" s="2"/>
      <c r="C1483" s="2"/>
    </row>
    <row r="1484" spans="1:3" ht="12.75">
      <c r="A1484" s="2"/>
      <c r="B1484" s="2"/>
      <c r="C1484" s="2"/>
    </row>
    <row r="1485" spans="1:3" ht="12.75">
      <c r="A1485" s="2"/>
      <c r="B1485" s="2"/>
      <c r="C1485" s="2"/>
    </row>
    <row r="1486" spans="1:3" ht="12.75">
      <c r="A1486" s="2"/>
      <c r="B1486" s="2"/>
      <c r="C1486" s="2"/>
    </row>
    <row r="1487" spans="1:3" ht="12.75">
      <c r="A1487" s="2"/>
      <c r="B1487" s="2"/>
      <c r="C1487" s="2"/>
    </row>
  </sheetData>
  <sheetProtection/>
  <mergeCells count="5">
    <mergeCell ref="A10:D10"/>
    <mergeCell ref="A11:D11"/>
    <mergeCell ref="A21:B21"/>
    <mergeCell ref="A22:B22"/>
    <mergeCell ref="A23:B23"/>
  </mergeCells>
  <printOptions horizontalCentered="1"/>
  <pageMargins left="0.1968503937007874" right="0.1968503937007874" top="0.35" bottom="0.5905511811023623" header="0.25" footer="0.5118110236220472"/>
  <pageSetup horizontalDpi="300" verticalDpi="300" orientation="portrait" paperSize="9" scale="9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showGridLines="0" view="pageBreakPreview" zoomScale="70" zoomScaleNormal="75" zoomScaleSheetLayoutView="70" zoomScalePageLayoutView="0" workbookViewId="0" topLeftCell="A1">
      <selection activeCell="I17" sqref="I17"/>
    </sheetView>
  </sheetViews>
  <sheetFormatPr defaultColWidth="11.421875" defaultRowHeight="12.75"/>
  <cols>
    <col min="1" max="1" width="11.8515625" style="0" customWidth="1"/>
    <col min="2" max="2" width="58.140625" style="0" customWidth="1"/>
    <col min="3" max="3" width="21.00390625" style="0" customWidth="1"/>
    <col min="4" max="4" width="7.140625" style="0" customWidth="1"/>
    <col min="5" max="7" width="21.7109375" style="0" customWidth="1"/>
    <col min="8" max="8" width="19.00390625" style="0" customWidth="1"/>
    <col min="9" max="10" width="11.421875" style="0" customWidth="1"/>
    <col min="11" max="11" width="14.8515625" style="0" bestFit="1" customWidth="1"/>
  </cols>
  <sheetData>
    <row r="1" spans="1:9" ht="27.75">
      <c r="A1" s="185"/>
      <c r="B1" s="2"/>
      <c r="C1" s="189"/>
      <c r="D1" s="189"/>
      <c r="E1" s="2"/>
      <c r="F1" s="2"/>
      <c r="G1" s="2"/>
      <c r="H1" s="54"/>
      <c r="I1" s="53"/>
    </row>
    <row r="2" spans="1:9" ht="18">
      <c r="A2" s="186"/>
      <c r="B2" s="2"/>
      <c r="C2" s="81"/>
      <c r="D2" s="81"/>
      <c r="E2" s="2"/>
      <c r="F2" s="2"/>
      <c r="G2" s="2"/>
      <c r="H2" s="54"/>
      <c r="I2" s="53"/>
    </row>
    <row r="3" spans="1:9" ht="18">
      <c r="A3" s="186"/>
      <c r="B3" s="2"/>
      <c r="C3" s="81"/>
      <c r="D3" s="81"/>
      <c r="E3" s="2"/>
      <c r="F3" s="2"/>
      <c r="G3" s="2"/>
      <c r="H3" s="54"/>
      <c r="I3" s="53"/>
    </row>
    <row r="4" spans="1:9" ht="18">
      <c r="A4" s="186"/>
      <c r="B4" s="2"/>
      <c r="C4" s="81"/>
      <c r="D4" s="81"/>
      <c r="E4" s="2"/>
      <c r="F4" s="2"/>
      <c r="G4" s="2"/>
      <c r="H4" s="54"/>
      <c r="I4" s="53"/>
    </row>
    <row r="5" spans="1:9" ht="18">
      <c r="A5" s="186"/>
      <c r="B5" s="2"/>
      <c r="C5" s="81"/>
      <c r="D5" s="81"/>
      <c r="E5" s="2"/>
      <c r="F5" s="2"/>
      <c r="G5" s="2"/>
      <c r="H5" s="54"/>
      <c r="I5" s="53"/>
    </row>
    <row r="6" spans="1:9" ht="18">
      <c r="A6" s="186"/>
      <c r="B6" s="2"/>
      <c r="C6" s="81"/>
      <c r="D6" s="81"/>
      <c r="E6" s="2"/>
      <c r="F6" s="2"/>
      <c r="G6" s="2"/>
      <c r="H6" s="54"/>
      <c r="I6" s="53"/>
    </row>
    <row r="7" spans="1:9" ht="18">
      <c r="A7" s="186"/>
      <c r="B7" s="115" t="s">
        <v>261</v>
      </c>
      <c r="C7" s="81"/>
      <c r="D7" s="81"/>
      <c r="E7" s="2"/>
      <c r="F7" s="2"/>
      <c r="G7" s="2"/>
      <c r="H7" s="54"/>
      <c r="I7" s="53"/>
    </row>
    <row r="8" spans="1:9" ht="18">
      <c r="A8" s="186"/>
      <c r="B8" s="115" t="s">
        <v>262</v>
      </c>
      <c r="C8" s="81"/>
      <c r="D8" s="81"/>
      <c r="E8" s="2"/>
      <c r="F8" s="2"/>
      <c r="G8" s="2"/>
      <c r="H8" s="54"/>
      <c r="I8" s="53"/>
    </row>
    <row r="9" spans="1:9" ht="18">
      <c r="A9" s="186"/>
      <c r="B9" s="115" t="s">
        <v>263</v>
      </c>
      <c r="C9" s="81"/>
      <c r="D9" s="81"/>
      <c r="E9" s="2"/>
      <c r="F9" s="2"/>
      <c r="G9" s="2"/>
      <c r="H9" s="54"/>
      <c r="I9" s="53"/>
    </row>
    <row r="10" spans="1:9" ht="30.75" customHeight="1">
      <c r="A10" s="466" t="s">
        <v>64</v>
      </c>
      <c r="B10" s="466"/>
      <c r="C10" s="466"/>
      <c r="D10" s="466"/>
      <c r="E10" s="466"/>
      <c r="F10" s="466"/>
      <c r="G10" s="466"/>
      <c r="H10" s="221"/>
      <c r="I10" s="53"/>
    </row>
    <row r="11" spans="1:9" ht="12.75">
      <c r="A11" s="190"/>
      <c r="B11" s="2"/>
      <c r="C11" s="81"/>
      <c r="D11" s="81"/>
      <c r="E11" s="2"/>
      <c r="F11" s="2"/>
      <c r="G11" s="2"/>
      <c r="H11" s="221"/>
      <c r="I11" s="53"/>
    </row>
    <row r="12" spans="1:9" ht="13.5" thickBot="1">
      <c r="A12" s="82"/>
      <c r="B12" s="82"/>
      <c r="C12" s="83"/>
      <c r="D12" s="83"/>
      <c r="E12" s="97"/>
      <c r="F12" s="97"/>
      <c r="G12" s="98"/>
      <c r="H12" s="221"/>
      <c r="I12" s="53"/>
    </row>
    <row r="13" spans="1:9" ht="12.75">
      <c r="A13" s="471"/>
      <c r="B13" s="472"/>
      <c r="C13" s="472"/>
      <c r="D13" s="472"/>
      <c r="E13" s="472"/>
      <c r="F13" s="472"/>
      <c r="G13" s="100"/>
      <c r="H13" s="385">
        <f>PLANILHA!K295+1</f>
        <v>1.2277</v>
      </c>
      <c r="I13" s="53"/>
    </row>
    <row r="14" spans="1:9" ht="26.25" customHeight="1" thickBot="1">
      <c r="A14" s="473"/>
      <c r="B14" s="474"/>
      <c r="C14" s="474"/>
      <c r="D14" s="474"/>
      <c r="E14" s="474"/>
      <c r="F14" s="474"/>
      <c r="G14" s="99"/>
      <c r="H14" s="222"/>
      <c r="I14" s="53"/>
    </row>
    <row r="15" spans="1:9" ht="26.25" customHeight="1" thickBot="1">
      <c r="A15" s="191" t="s">
        <v>10</v>
      </c>
      <c r="B15" s="113" t="s">
        <v>164</v>
      </c>
      <c r="C15" s="188" t="s">
        <v>194</v>
      </c>
      <c r="D15" s="188" t="s">
        <v>22</v>
      </c>
      <c r="E15" s="187">
        <v>30</v>
      </c>
      <c r="F15" s="187">
        <v>60</v>
      </c>
      <c r="G15" s="187" t="s">
        <v>184</v>
      </c>
      <c r="H15" s="222"/>
      <c r="I15" s="53"/>
    </row>
    <row r="16" spans="1:11" ht="15">
      <c r="A16" s="110"/>
      <c r="B16" s="111"/>
      <c r="C16" s="112"/>
      <c r="D16" s="67" t="s">
        <v>22</v>
      </c>
      <c r="E16" s="192">
        <v>0.5</v>
      </c>
      <c r="F16" s="192">
        <v>0.5</v>
      </c>
      <c r="G16" s="195">
        <f aca="true" t="shared" si="0" ref="G16:G22">SUM(E16:F16)</f>
        <v>1</v>
      </c>
      <c r="H16" s="222"/>
      <c r="I16" s="53"/>
      <c r="K16" s="384"/>
    </row>
    <row r="17" spans="1:11" ht="15">
      <c r="A17" s="60" t="s">
        <v>41</v>
      </c>
      <c r="B17" s="61" t="str">
        <f>RESUMO!B14</f>
        <v>SERVIÇOS TECNICOS-PROFISSIONAIS</v>
      </c>
      <c r="C17" s="62">
        <f>PLANILHA!L14*$H$13</f>
        <v>287.21</v>
      </c>
      <c r="D17" s="63" t="s">
        <v>42</v>
      </c>
      <c r="E17" s="64">
        <f>$C$17*$E$16</f>
        <v>143.61</v>
      </c>
      <c r="F17" s="64">
        <f>$C$17*$F$16</f>
        <v>143.61</v>
      </c>
      <c r="G17" s="65">
        <f t="shared" si="0"/>
        <v>287.22</v>
      </c>
      <c r="H17" s="222"/>
      <c r="I17" s="53"/>
      <c r="K17" s="384"/>
    </row>
    <row r="18" spans="1:11" ht="15">
      <c r="A18" s="56"/>
      <c r="B18" s="57"/>
      <c r="C18" s="59"/>
      <c r="D18" s="58" t="s">
        <v>22</v>
      </c>
      <c r="E18" s="193">
        <v>0.5</v>
      </c>
      <c r="F18" s="193">
        <v>0.5</v>
      </c>
      <c r="G18" s="194">
        <f t="shared" si="0"/>
        <v>1</v>
      </c>
      <c r="H18" s="222"/>
      <c r="I18" s="53"/>
      <c r="K18" s="384"/>
    </row>
    <row r="19" spans="1:11" ht="15">
      <c r="A19" s="60" t="s">
        <v>43</v>
      </c>
      <c r="B19" s="61" t="str">
        <f>RESUMO!B15</f>
        <v>SERVIÇOS PRELIMINARES</v>
      </c>
      <c r="C19" s="62">
        <f>PLANILHA!L33*CRONOGRAMA!H13</f>
        <v>20796.22</v>
      </c>
      <c r="D19" s="63" t="s">
        <v>42</v>
      </c>
      <c r="E19" s="64">
        <f>$C$19*$E$18</f>
        <v>10398.11</v>
      </c>
      <c r="F19" s="64">
        <f>$C$19*$F$18</f>
        <v>10398.11</v>
      </c>
      <c r="G19" s="65">
        <f t="shared" si="0"/>
        <v>20796.22</v>
      </c>
      <c r="H19" s="222"/>
      <c r="I19" s="53"/>
      <c r="K19" s="384"/>
    </row>
    <row r="20" spans="1:11" ht="15">
      <c r="A20" s="56"/>
      <c r="B20" s="57"/>
      <c r="C20" s="59"/>
      <c r="D20" s="58" t="s">
        <v>22</v>
      </c>
      <c r="E20" s="193">
        <v>0.5</v>
      </c>
      <c r="F20" s="193">
        <v>0.5</v>
      </c>
      <c r="G20" s="194">
        <f t="shared" si="0"/>
        <v>1</v>
      </c>
      <c r="H20" s="55"/>
      <c r="I20" s="53"/>
      <c r="K20" s="384"/>
    </row>
    <row r="21" spans="1:11" ht="15">
      <c r="A21" s="60" t="s">
        <v>165</v>
      </c>
      <c r="B21" s="61" t="str">
        <f>RESUMO!B16</f>
        <v>ESTRUTURAS</v>
      </c>
      <c r="C21" s="62">
        <f>RESUMO!C16*H13</f>
        <v>26226.79</v>
      </c>
      <c r="D21" s="63" t="s">
        <v>42</v>
      </c>
      <c r="E21" s="64">
        <f>$C$21*$E$20</f>
        <v>13113.4</v>
      </c>
      <c r="F21" s="64">
        <f>$C$21*$F$20</f>
        <v>13113.4</v>
      </c>
      <c r="G21" s="65">
        <f t="shared" si="0"/>
        <v>26226.8</v>
      </c>
      <c r="H21" s="55"/>
      <c r="I21" s="53"/>
      <c r="K21" s="384"/>
    </row>
    <row r="22" spans="1:11" ht="15">
      <c r="A22" s="56"/>
      <c r="B22" s="57"/>
      <c r="C22" s="59"/>
      <c r="D22" s="58" t="s">
        <v>22</v>
      </c>
      <c r="E22" s="193">
        <v>0.4</v>
      </c>
      <c r="F22" s="193">
        <v>0.6</v>
      </c>
      <c r="G22" s="194">
        <f t="shared" si="0"/>
        <v>1</v>
      </c>
      <c r="H22" s="55"/>
      <c r="I22" s="53"/>
      <c r="K22" s="384"/>
    </row>
    <row r="23" spans="1:11" ht="15.75" customHeight="1">
      <c r="A23" s="60" t="s">
        <v>166</v>
      </c>
      <c r="B23" s="61" t="str">
        <f>RESUMO!B17</f>
        <v>ARQUITETURA E ELEMENTOS DE URBANISMO</v>
      </c>
      <c r="C23" s="62">
        <f>RESUMO!C17*H13</f>
        <v>232191.52</v>
      </c>
      <c r="D23" s="63" t="s">
        <v>42</v>
      </c>
      <c r="E23" s="64">
        <f>$C$23*$E$22</f>
        <v>92876.61</v>
      </c>
      <c r="F23" s="64">
        <f>$C$23*$F$22</f>
        <v>139314.91</v>
      </c>
      <c r="G23" s="65">
        <f>SUM(E23:F23)-0.02</f>
        <v>232191.5</v>
      </c>
      <c r="H23" s="55"/>
      <c r="I23" s="53"/>
      <c r="K23" s="384"/>
    </row>
    <row r="24" spans="1:11" ht="15">
      <c r="A24" s="56"/>
      <c r="B24" s="57"/>
      <c r="C24" s="59"/>
      <c r="D24" s="58" t="s">
        <v>22</v>
      </c>
      <c r="E24" s="193">
        <v>0.3</v>
      </c>
      <c r="F24" s="193">
        <v>0.7</v>
      </c>
      <c r="G24" s="194">
        <f>SUM(E24:F24)</f>
        <v>1</v>
      </c>
      <c r="H24" s="55"/>
      <c r="I24" s="53"/>
      <c r="K24" s="384"/>
    </row>
    <row r="25" spans="1:11" ht="15">
      <c r="A25" s="60" t="s">
        <v>44</v>
      </c>
      <c r="B25" s="61" t="str">
        <f>RESUMO!B18</f>
        <v>INSTALAÇÕES HIDRÁULICAS E SANITÁRIAS</v>
      </c>
      <c r="C25" s="62">
        <f>RESUMO!C18*CRONOGRAMA!H13</f>
        <v>19159.56</v>
      </c>
      <c r="D25" s="63" t="s">
        <v>42</v>
      </c>
      <c r="E25" s="196">
        <f>$C$25*$E$24</f>
        <v>5747.87</v>
      </c>
      <c r="F25" s="64">
        <f>$C$25*$F$24</f>
        <v>13411.69</v>
      </c>
      <c r="G25" s="65">
        <f>SUM(E25:F25)-0.02</f>
        <v>19159.54</v>
      </c>
      <c r="H25" s="55"/>
      <c r="I25" s="53"/>
      <c r="K25" s="384"/>
    </row>
    <row r="26" spans="1:11" ht="15" customHeight="1">
      <c r="A26" s="56"/>
      <c r="B26" s="57"/>
      <c r="C26" s="59"/>
      <c r="D26" s="58" t="s">
        <v>22</v>
      </c>
      <c r="E26" s="193">
        <v>0.25</v>
      </c>
      <c r="F26" s="193">
        <v>0.75</v>
      </c>
      <c r="G26" s="194">
        <f>SUM(E26:F26)</f>
        <v>1</v>
      </c>
      <c r="H26" s="55"/>
      <c r="I26" s="53"/>
      <c r="K26" s="384"/>
    </row>
    <row r="27" spans="1:11" ht="15">
      <c r="A27" s="60" t="s">
        <v>45</v>
      </c>
      <c r="B27" s="61" t="str">
        <f>RESUMO!B19</f>
        <v>INSTALAÇÕES ELÉTRICAS E ELETRÔNICAS</v>
      </c>
      <c r="C27" s="62">
        <f>RESUMO!C19*CRONOGRAMA!H13</f>
        <v>12104.85</v>
      </c>
      <c r="D27" s="63" t="s">
        <v>42</v>
      </c>
      <c r="E27" s="196">
        <f>$C$27*$E$26</f>
        <v>3026.21</v>
      </c>
      <c r="F27" s="196">
        <f>$C$27*$F$26</f>
        <v>9078.64</v>
      </c>
      <c r="G27" s="65">
        <f>SUM(E27:F27)</f>
        <v>12104.85</v>
      </c>
      <c r="H27" s="55"/>
      <c r="I27" s="53"/>
      <c r="K27" s="384"/>
    </row>
    <row r="28" spans="1:11" ht="15">
      <c r="A28" s="56"/>
      <c r="B28" s="57"/>
      <c r="C28" s="59"/>
      <c r="D28" s="58" t="s">
        <v>22</v>
      </c>
      <c r="E28" s="193">
        <v>0.1</v>
      </c>
      <c r="F28" s="193">
        <v>0.9</v>
      </c>
      <c r="G28" s="194">
        <f>SUM(E28:F28)</f>
        <v>1</v>
      </c>
      <c r="H28" s="55"/>
      <c r="I28" s="53"/>
      <c r="K28" s="384"/>
    </row>
    <row r="29" spans="1:11" ht="17.25" customHeight="1">
      <c r="A29" s="60" t="s">
        <v>46</v>
      </c>
      <c r="B29" s="61" t="str">
        <f>RESUMO!B20</f>
        <v>SERVIÇOS COMPLEMENTARES</v>
      </c>
      <c r="C29" s="62">
        <f>RESUMO!C20*CRONOGRAMA!H13</f>
        <v>605.45</v>
      </c>
      <c r="D29" s="63" t="s">
        <v>42</v>
      </c>
      <c r="E29" s="196">
        <f>$C$29*$E$28</f>
        <v>60.55</v>
      </c>
      <c r="F29" s="196">
        <f>$C$29*$F$28</f>
        <v>544.91</v>
      </c>
      <c r="G29" s="65">
        <f>SUM(E29:F29)-0.01</f>
        <v>605.45</v>
      </c>
      <c r="H29" s="55"/>
      <c r="I29" s="53"/>
      <c r="K29" s="384"/>
    </row>
    <row r="30" spans="1:9" ht="20.25" customHeight="1">
      <c r="A30" s="467" t="s">
        <v>47</v>
      </c>
      <c r="B30" s="468"/>
      <c r="C30" s="66"/>
      <c r="D30" s="67" t="s">
        <v>22</v>
      </c>
      <c r="E30" s="197">
        <f>E31/$G$31</f>
        <v>0.4026</v>
      </c>
      <c r="F30" s="197">
        <f>F31/$G$31</f>
        <v>0.5974</v>
      </c>
      <c r="G30" s="68" t="s">
        <v>23</v>
      </c>
      <c r="H30" s="55"/>
      <c r="I30" s="53"/>
    </row>
    <row r="31" spans="1:9" ht="20.25" customHeight="1">
      <c r="A31" s="467" t="s">
        <v>48</v>
      </c>
      <c r="B31" s="468"/>
      <c r="C31" s="69"/>
      <c r="D31" s="70" t="s">
        <v>42</v>
      </c>
      <c r="E31" s="71">
        <f>E17+E19+E21+E23+E25+E27+E29</f>
        <v>125366.36</v>
      </c>
      <c r="F31" s="71">
        <f>F17+F19+F21+F23+F25+F27+F29</f>
        <v>186005.27</v>
      </c>
      <c r="G31" s="72">
        <f>SUM(E31:F31)</f>
        <v>311371.63</v>
      </c>
      <c r="H31" s="55"/>
      <c r="I31" s="53"/>
    </row>
    <row r="32" spans="1:9" ht="20.25" customHeight="1">
      <c r="A32" s="467" t="s">
        <v>49</v>
      </c>
      <c r="B32" s="468"/>
      <c r="C32" s="69">
        <f>SUM(C16:C29)</f>
        <v>311371.6</v>
      </c>
      <c r="D32" s="70" t="s">
        <v>22</v>
      </c>
      <c r="E32" s="198">
        <f>E30</f>
        <v>0.4026</v>
      </c>
      <c r="F32" s="198">
        <f>E32+F30</f>
        <v>1</v>
      </c>
      <c r="G32" s="73"/>
      <c r="H32" s="55"/>
      <c r="I32" s="53"/>
    </row>
    <row r="33" spans="1:9" ht="19.5" customHeight="1" thickBot="1">
      <c r="A33" s="469" t="s">
        <v>50</v>
      </c>
      <c r="B33" s="470"/>
      <c r="C33" s="74"/>
      <c r="D33" s="75" t="s">
        <v>42</v>
      </c>
      <c r="E33" s="76">
        <f>E31</f>
        <v>125366.36</v>
      </c>
      <c r="F33" s="76">
        <f>E33+F31</f>
        <v>311371.63</v>
      </c>
      <c r="G33" s="77"/>
      <c r="H33" s="55"/>
      <c r="I33" s="53"/>
    </row>
    <row r="34" spans="1:9" ht="13.5" thickTop="1">
      <c r="A34" s="54"/>
      <c r="B34" s="54"/>
      <c r="C34" s="54"/>
      <c r="D34" s="54"/>
      <c r="E34" s="54"/>
      <c r="F34" s="54"/>
      <c r="G34" s="54"/>
      <c r="H34" s="55"/>
      <c r="I34" s="53"/>
    </row>
    <row r="35" spans="7:8" ht="12.75">
      <c r="G35" s="78"/>
      <c r="H35" s="79"/>
    </row>
    <row r="36" ht="12.75">
      <c r="G36" s="199"/>
    </row>
    <row r="37" ht="12.75">
      <c r="G37" s="80"/>
    </row>
  </sheetData>
  <sheetProtection/>
  <mergeCells count="7">
    <mergeCell ref="A10:G10"/>
    <mergeCell ref="A32:B32"/>
    <mergeCell ref="A33:B33"/>
    <mergeCell ref="A13:F13"/>
    <mergeCell ref="A14:F14"/>
    <mergeCell ref="A30:B30"/>
    <mergeCell ref="A31:B31"/>
  </mergeCells>
  <printOptions horizontalCentered="1"/>
  <pageMargins left="0.2362204724409449" right="0" top="0.4330708661417323" bottom="0.4724409448818898" header="0.1968503937007874" footer="0.31496062992125984"/>
  <pageSetup horizontalDpi="300" verticalDpi="300" orientation="landscape" paperSize="9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78"/>
  <sheetViews>
    <sheetView showGridLines="0" view="pageBreakPreview" zoomScaleSheetLayoutView="100" zoomScalePageLayoutView="0" workbookViewId="0" topLeftCell="A10">
      <selection activeCell="L22" sqref="L22"/>
    </sheetView>
  </sheetViews>
  <sheetFormatPr defaultColWidth="9.140625" defaultRowHeight="12.75"/>
  <cols>
    <col min="1" max="1" width="36.28125" style="395" customWidth="1"/>
    <col min="2" max="2" width="15.28125" style="395" bestFit="1" customWidth="1"/>
    <col min="3" max="3" width="14.57421875" style="395" customWidth="1"/>
    <col min="4" max="4" width="15.421875" style="395" customWidth="1"/>
    <col min="5" max="5" width="18.421875" style="395" bestFit="1" customWidth="1"/>
    <col min="6" max="6" width="9.00390625" style="395" bestFit="1" customWidth="1"/>
    <col min="7" max="7" width="11.00390625" style="395" customWidth="1"/>
    <col min="8" max="16384" width="9.140625" style="395" customWidth="1"/>
  </cols>
  <sheetData>
    <row r="1" spans="1:5" s="386" customFormat="1" ht="56.25" customHeight="1">
      <c r="A1" s="494"/>
      <c r="B1" s="494"/>
      <c r="C1" s="494"/>
      <c r="D1" s="494"/>
      <c r="E1" s="494"/>
    </row>
    <row r="2" spans="1:5" s="386" customFormat="1" ht="15.75">
      <c r="A2" s="387"/>
      <c r="B2" s="387"/>
      <c r="C2" s="387"/>
      <c r="D2" s="387"/>
      <c r="E2" s="387"/>
    </row>
    <row r="3" spans="1:5" s="389" customFormat="1" ht="15.75">
      <c r="A3" s="495" t="s">
        <v>646</v>
      </c>
      <c r="B3" s="495"/>
      <c r="C3" s="495"/>
      <c r="D3" s="495"/>
      <c r="E3" s="495"/>
    </row>
    <row r="4" spans="1:5" s="389" customFormat="1" ht="9" customHeight="1">
      <c r="A4" s="388"/>
      <c r="B4" s="388"/>
      <c r="C4" s="388"/>
      <c r="D4" s="388"/>
      <c r="E4" s="388"/>
    </row>
    <row r="5" spans="1:11" s="392" customFormat="1" ht="15.75" customHeight="1">
      <c r="A5" s="390"/>
      <c r="B5" s="486"/>
      <c r="C5" s="486"/>
      <c r="D5" s="486"/>
      <c r="E5" s="486"/>
      <c r="F5" s="391"/>
      <c r="G5" s="391"/>
      <c r="H5" s="391"/>
      <c r="I5" s="391"/>
      <c r="J5" s="391"/>
      <c r="K5" s="391"/>
    </row>
    <row r="6" spans="1:11" s="392" customFormat="1" ht="15.75" customHeight="1">
      <c r="A6" s="390"/>
      <c r="B6" s="486"/>
      <c r="C6" s="486"/>
      <c r="D6" s="486"/>
      <c r="E6" s="486"/>
      <c r="F6" s="391"/>
      <c r="G6" s="391"/>
      <c r="H6" s="391"/>
      <c r="I6" s="391"/>
      <c r="J6" s="391"/>
      <c r="K6" s="391"/>
    </row>
    <row r="7" spans="1:11" s="392" customFormat="1" ht="76.5" customHeight="1">
      <c r="A7" s="390" t="s">
        <v>647</v>
      </c>
      <c r="B7" s="486" t="s">
        <v>648</v>
      </c>
      <c r="C7" s="486"/>
      <c r="D7" s="486"/>
      <c r="E7" s="486"/>
      <c r="F7" s="391"/>
      <c r="G7" s="391"/>
      <c r="H7" s="391"/>
      <c r="I7" s="391"/>
      <c r="J7" s="391"/>
      <c r="K7" s="391"/>
    </row>
    <row r="8" spans="1:11" s="392" customFormat="1" ht="33" customHeight="1">
      <c r="A8" s="390" t="s">
        <v>649</v>
      </c>
      <c r="B8" s="486" t="s">
        <v>650</v>
      </c>
      <c r="C8" s="486"/>
      <c r="D8" s="486"/>
      <c r="E8" s="486"/>
      <c r="F8" s="391" t="str">
        <f>IF(B8&lt;&gt;"","OK","PREENCHER")</f>
        <v>OK</v>
      </c>
      <c r="G8" s="391"/>
      <c r="H8" s="391"/>
      <c r="I8" s="391"/>
      <c r="J8" s="391"/>
      <c r="K8" s="391"/>
    </row>
    <row r="9" spans="1:11" s="392" customFormat="1" ht="33" customHeight="1">
      <c r="A9" s="390" t="s">
        <v>651</v>
      </c>
      <c r="B9" s="485">
        <v>1</v>
      </c>
      <c r="C9" s="485"/>
      <c r="D9" s="485"/>
      <c r="E9" s="485"/>
      <c r="F9" s="391" t="str">
        <f>IF(B9&lt;&gt;"","OK","PREENCHER")</f>
        <v>OK</v>
      </c>
      <c r="G9" s="393"/>
      <c r="H9" s="391"/>
      <c r="I9" s="391"/>
      <c r="J9" s="391"/>
      <c r="K9" s="391"/>
    </row>
    <row r="10" spans="1:11" s="392" customFormat="1" ht="19.5" customHeight="1">
      <c r="A10" s="390" t="s">
        <v>652</v>
      </c>
      <c r="B10" s="486" t="s">
        <v>653</v>
      </c>
      <c r="C10" s="486"/>
      <c r="D10" s="486"/>
      <c r="E10" s="486"/>
      <c r="F10" s="391" t="str">
        <f>IF(B10&lt;&gt;"","OK","PREENCHER")</f>
        <v>OK</v>
      </c>
      <c r="G10" s="391"/>
      <c r="H10" s="391"/>
      <c r="I10" s="391"/>
      <c r="J10" s="391"/>
      <c r="K10" s="391"/>
    </row>
    <row r="11" spans="6:11" s="392" customFormat="1" ht="9" thickBot="1">
      <c r="F11" s="391"/>
      <c r="G11" s="391"/>
      <c r="H11" s="391"/>
      <c r="I11" s="391"/>
      <c r="J11" s="391"/>
      <c r="K11" s="391"/>
    </row>
    <row r="12" spans="1:11" ht="19.5" customHeight="1">
      <c r="A12" s="487" t="s">
        <v>654</v>
      </c>
      <c r="B12" s="489" t="s">
        <v>655</v>
      </c>
      <c r="C12" s="490"/>
      <c r="D12" s="491"/>
      <c r="E12" s="492" t="s">
        <v>656</v>
      </c>
      <c r="F12" s="394"/>
      <c r="G12" s="394"/>
      <c r="H12" s="394"/>
      <c r="I12" s="394"/>
      <c r="J12" s="394"/>
      <c r="K12" s="394"/>
    </row>
    <row r="13" spans="1:11" ht="36" customHeight="1" thickBot="1">
      <c r="A13" s="488"/>
      <c r="B13" s="396" t="s">
        <v>657</v>
      </c>
      <c r="C13" s="396" t="s">
        <v>658</v>
      </c>
      <c r="D13" s="397" t="s">
        <v>659</v>
      </c>
      <c r="E13" s="493"/>
      <c r="F13" s="394"/>
      <c r="G13" s="398"/>
      <c r="H13" s="398"/>
      <c r="I13" s="398"/>
      <c r="J13" s="394"/>
      <c r="K13" s="394"/>
    </row>
    <row r="14" spans="1:11" ht="15.75">
      <c r="A14" s="399" t="s">
        <v>660</v>
      </c>
      <c r="B14" s="400">
        <f>IF(ISERROR(VLOOKUP($B$8,'[1]Base dados - TCU 2622_2013'!$A$7:$V$14,2,)),"",VLOOKUP($B$8,'[1]Base dados - TCU 2622_2013'!$A$7:$V$14,2,))</f>
        <v>3</v>
      </c>
      <c r="C14" s="400">
        <f>IF(ISERROR(VLOOKUP($B$8,'[1]Base dados - TCU 2622_2013'!$A$7:$V$14,3,)),"",VLOOKUP($B$8,'[1]Base dados - TCU 2622_2013'!$A$7:$V$14,3,))</f>
        <v>4</v>
      </c>
      <c r="D14" s="400">
        <f>IF(ISERROR(VLOOKUP($B$8,'[1]Base dados - TCU 2622_2013'!$A$7:$V$14,4,)),"",VLOOKUP($B$8,'[1]Base dados - TCU 2622_2013'!$A$7:$V$14,4,))</f>
        <v>5.5</v>
      </c>
      <c r="E14" s="401">
        <v>4</v>
      </c>
      <c r="F14" s="391" t="str">
        <f>IF(AND(E14&gt;=B14,E14&lt;=D14),"OK","PREENCHER")</f>
        <v>OK</v>
      </c>
      <c r="G14" s="402"/>
      <c r="H14" s="398"/>
      <c r="I14" s="398"/>
      <c r="J14" s="394"/>
      <c r="K14" s="394"/>
    </row>
    <row r="15" spans="1:11" ht="15.75">
      <c r="A15" s="403" t="s">
        <v>661</v>
      </c>
      <c r="B15" s="400">
        <f>IF(ISERROR(VLOOKUP($B$8,'[1]Base dados - TCU 2622_2013'!$A$7:$V$14,5,)),"",VLOOKUP($B$8,'[1]Base dados - TCU 2622_2013'!$A$7:$V$14,5,))</f>
        <v>0.8</v>
      </c>
      <c r="C15" s="400">
        <f>IF(ISERROR(VLOOKUP($B$8,'[1]Base dados - TCU 2622_2013'!$A$7:$V$14,6,)),"",VLOOKUP($B$8,'[1]Base dados - TCU 2622_2013'!$A$7:$V$14,6,))</f>
        <v>0.8</v>
      </c>
      <c r="D15" s="400">
        <f>IF(ISERROR(VLOOKUP($B$8,'[1]Base dados - TCU 2622_2013'!$A$7:$V$14,7,)),"",VLOOKUP($B$8,'[1]Base dados - TCU 2622_2013'!$A$7:$V$14,7,))</f>
        <v>1</v>
      </c>
      <c r="E15" s="404">
        <v>0.8</v>
      </c>
      <c r="F15" s="391" t="str">
        <f aca="true" t="shared" si="0" ref="F15:F22">IF(AND(E15&gt;=B15,E15&lt;=D15),"OK","PREENCHER")</f>
        <v>OK</v>
      </c>
      <c r="G15" s="405"/>
      <c r="H15" s="398"/>
      <c r="I15" s="398"/>
      <c r="J15" s="394"/>
      <c r="K15" s="394"/>
    </row>
    <row r="16" spans="1:11" ht="15.75">
      <c r="A16" s="403" t="s">
        <v>662</v>
      </c>
      <c r="B16" s="400">
        <f>IF(ISERROR(VLOOKUP($B$8,'[1]Base dados - TCU 2622_2013'!$A$7:$V$14,8,)),"",VLOOKUP($B$8,'[1]Base dados - TCU 2622_2013'!$A$7:$V$14,8,))</f>
        <v>0.97</v>
      </c>
      <c r="C16" s="400">
        <f>IF(ISERROR(VLOOKUP($B$8,'[1]Base dados - TCU 2622_2013'!$A$7:$V$14,6,)),"",VLOOKUP($B$8,'[1]Base dados - TCU 2622_2013'!$A$7:$V$14,9,))</f>
        <v>1.27</v>
      </c>
      <c r="D16" s="400">
        <f>IF(ISERROR(VLOOKUP($B$8,'[1]Base dados - TCU 2622_2013'!$A$7:$V$14,7,)),"",VLOOKUP($B$8,'[1]Base dados - TCU 2622_2013'!$A$7:$V$14,10,))</f>
        <v>1.27</v>
      </c>
      <c r="E16" s="404">
        <v>1.27</v>
      </c>
      <c r="F16" s="391" t="str">
        <f t="shared" si="0"/>
        <v>OK</v>
      </c>
      <c r="G16" s="405"/>
      <c r="H16" s="398"/>
      <c r="I16" s="398"/>
      <c r="J16" s="394"/>
      <c r="K16" s="394"/>
    </row>
    <row r="17" spans="1:11" ht="15.75">
      <c r="A17" s="399" t="s">
        <v>663</v>
      </c>
      <c r="B17" s="400">
        <f>IF(ISERROR(VLOOKUP($B$8,'[1]Base dados - TCU 2622_2013'!$A$7:$V$14,11,)),"",VLOOKUP($B$8,'[1]Base dados - TCU 2622_2013'!$A$7:$V$14,11,))</f>
        <v>0.59</v>
      </c>
      <c r="C17" s="400">
        <f>IF(ISERROR(VLOOKUP($B$8,'[1]Base dados - TCU 2622_2013'!$A$7:$V$14,12,)),"",VLOOKUP($B$8,'[1]Base dados - TCU 2622_2013'!$A$7:$V$14,12,))</f>
        <v>1.23</v>
      </c>
      <c r="D17" s="400">
        <f>IF(ISERROR(VLOOKUP($B$8,'[1]Base dados - TCU 2622_2013'!$A$7:$V$14,13,)),"",VLOOKUP($B$8,'[1]Base dados - TCU 2622_2013'!$A$7:$V$14,13,))</f>
        <v>1.39</v>
      </c>
      <c r="E17" s="404">
        <v>1.23</v>
      </c>
      <c r="F17" s="391" t="str">
        <f t="shared" si="0"/>
        <v>OK</v>
      </c>
      <c r="G17" s="405"/>
      <c r="H17" s="398"/>
      <c r="I17" s="398"/>
      <c r="J17" s="394"/>
      <c r="K17" s="394"/>
    </row>
    <row r="18" spans="1:11" ht="15.75">
      <c r="A18" s="399" t="s">
        <v>664</v>
      </c>
      <c r="B18" s="400">
        <f>IF(ISERROR(VLOOKUP($B$8,'[1]Base dados - TCU 2622_2013'!$A$7:$V$14,14,)),"",VLOOKUP($B$8,'[1]Base dados - TCU 2622_2013'!$A$7:$V$14,14,))</f>
        <v>6.16</v>
      </c>
      <c r="C18" s="400">
        <f>IF(ISERROR(VLOOKUP($B$8,'[1]Base dados - TCU 2622_2013'!$A$7:$V$14,15,)),"",VLOOKUP($B$8,'[1]Base dados - TCU 2622_2013'!$A$7:$V$14,15,))</f>
        <v>7.4</v>
      </c>
      <c r="D18" s="400">
        <f>IF(ISERROR(VLOOKUP($B$8,'[1]Base dados - TCU 2622_2013'!$A$7:$V$14,16,)),"",VLOOKUP($B$8,'[1]Base dados - TCU 2622_2013'!$A$7:$V$14,16,))</f>
        <v>8.96</v>
      </c>
      <c r="E18" s="404">
        <v>6.16</v>
      </c>
      <c r="F18" s="391" t="str">
        <f t="shared" si="0"/>
        <v>OK</v>
      </c>
      <c r="G18" s="405"/>
      <c r="H18" s="398"/>
      <c r="I18" s="398"/>
      <c r="J18" s="394"/>
      <c r="K18" s="394"/>
    </row>
    <row r="19" spans="1:11" ht="15.75">
      <c r="A19" s="399" t="s">
        <v>665</v>
      </c>
      <c r="B19" s="400">
        <f>IF(ISERROR(VLOOKUP($B$8,'[1]Base dados - TCU 2622_2013'!$A$7:$V$14,17,)),"",VLOOKUP($B$8,'[1]Base dados - TCU 2622_2013'!$A$7:$V$14,17,))</f>
        <v>3</v>
      </c>
      <c r="C19" s="400">
        <f>IF(ISERROR(VLOOKUP($B$8,'[1]Base dados - TCU 2622_2013'!$A$7:$V$14,17,)),"",VLOOKUP($B$8,'[1]Base dados - TCU 2622_2013'!$A$7:$V$14,17,))</f>
        <v>3</v>
      </c>
      <c r="D19" s="400">
        <f>IF(ISERROR(VLOOKUP($B$8,'[1]Base dados - TCU 2622_2013'!$A$7:$V$14,17,)),"",VLOOKUP($B$8,'[1]Base dados - TCU 2622_2013'!$A$7:$V$14,17,))</f>
        <v>3</v>
      </c>
      <c r="E19" s="404">
        <v>3</v>
      </c>
      <c r="F19" s="391" t="str">
        <f t="shared" si="0"/>
        <v>OK</v>
      </c>
      <c r="G19" s="398"/>
      <c r="H19" s="398"/>
      <c r="I19" s="398"/>
      <c r="J19" s="394"/>
      <c r="K19" s="394"/>
    </row>
    <row r="20" spans="1:11" ht="15.75">
      <c r="A20" s="399" t="s">
        <v>666</v>
      </c>
      <c r="B20" s="400">
        <f>IF(ISERROR(VLOOKUP($B$8,'[1]Base dados - TCU 2622_2013'!$A$7:$V$14,18,)),"",VLOOKUP($B$8,'[1]Base dados - TCU 2622_2013'!$A$7:$V$14,18,))</f>
        <v>0.65</v>
      </c>
      <c r="C20" s="400">
        <f>IF(ISERROR(VLOOKUP($B$8,'[1]Base dados - TCU 2622_2013'!$A$7:$V$14,18,)),"",VLOOKUP($B$8,'[1]Base dados - TCU 2622_2013'!$A$7:$V$14,18,))</f>
        <v>0.65</v>
      </c>
      <c r="D20" s="400">
        <f>IF(ISERROR(VLOOKUP($B$8,'[1]Base dados - TCU 2622_2013'!$A$7:$V$14,18,)),"",VLOOKUP($B$8,'[1]Base dados - TCU 2622_2013'!$A$7:$V$14,18,))</f>
        <v>0.65</v>
      </c>
      <c r="E20" s="404">
        <v>0.65</v>
      </c>
      <c r="F20" s="391" t="str">
        <f t="shared" si="0"/>
        <v>OK</v>
      </c>
      <c r="G20" s="398"/>
      <c r="H20" s="398"/>
      <c r="I20" s="398"/>
      <c r="J20" s="394"/>
      <c r="K20" s="394"/>
    </row>
    <row r="21" spans="1:11" ht="15.75">
      <c r="A21" s="399" t="s">
        <v>667</v>
      </c>
      <c r="B21" s="400">
        <f>IF(ISERROR(VLOOKUP($B$8,'[1]Base dados - TCU 2622_2013'!$A$7:$V$14,19,)),"",VLOOKUP($B$8,'[1]Base dados - TCU 2622_2013'!$A$7:$V$14,19,))</f>
        <v>2</v>
      </c>
      <c r="C21" s="400">
        <f>IF(ISERROR(VLOOKUP($B$8,'[1]Base dados - TCU 2622_2013'!$A$7:$V$14,20,)),"",VLOOKUP($B$8,'[1]Base dados - TCU 2622_2013'!$A$7:$V$14,20,))</f>
        <v>3.5</v>
      </c>
      <c r="D21" s="400">
        <f>IF(ISERROR(VLOOKUP($B$8,'[1]Base dados - TCU 2622_2013'!$A$7:$V$14,21,)),"",VLOOKUP($B$8,'[1]Base dados - TCU 2622_2013'!$A$7:$V$14,21,))</f>
        <v>5</v>
      </c>
      <c r="E21" s="404">
        <v>3.5</v>
      </c>
      <c r="F21" s="391" t="str">
        <f t="shared" si="0"/>
        <v>OK</v>
      </c>
      <c r="G21" s="406"/>
      <c r="H21" s="407"/>
      <c r="I21" s="407"/>
      <c r="J21" s="407"/>
      <c r="K21" s="394"/>
    </row>
    <row r="22" spans="1:11" ht="30" customHeight="1" thickBot="1">
      <c r="A22" s="399">
        <f>IF(B10="sim","CPRB - Alíquota 4,5% Receita Bruta (Desoneração)","")</f>
      </c>
      <c r="B22" s="400">
        <f>IF($A$22="CPRB - Alíquota 4,5% Receita Bruta (Desoneração)",4.5,IF($B$10="","Preencher cabeçalho",0))</f>
        <v>0</v>
      </c>
      <c r="C22" s="400">
        <f>IF($A$22="CPRB - Alíquota 4,5% Receita Bruta (Desoneração)",4.5,IF($B$10="","Preencher cabeçalho",0))</f>
        <v>0</v>
      </c>
      <c r="D22" s="408">
        <f>IF($A$22="CPRB - Alíquota 4,5% Receita Bruta (Desoneração)",4.5,IF($B$10="","Preencher cabeçalho",0))</f>
        <v>0</v>
      </c>
      <c r="E22" s="409">
        <f>IF(B10="SIM",4.5,0)</f>
        <v>0</v>
      </c>
      <c r="F22" s="391" t="str">
        <f t="shared" si="0"/>
        <v>OK</v>
      </c>
      <c r="G22" s="407"/>
      <c r="H22" s="407"/>
      <c r="I22" s="407"/>
      <c r="J22" s="407"/>
      <c r="K22" s="394"/>
    </row>
    <row r="23" spans="1:11" ht="48" customHeight="1" thickBot="1">
      <c r="A23" s="410" t="s">
        <v>668</v>
      </c>
      <c r="B23" s="411">
        <f>IF($B$10="SIM",E28,"")</f>
      </c>
      <c r="C23" s="411">
        <f>IF($B$10="SIM",J27,"")</f>
      </c>
      <c r="D23" s="411">
        <f>IF($B$10="SIM",L27,"")</f>
      </c>
      <c r="E23" s="412">
        <f>IF(B10="SIM",IF(G23&lt;12,"PREENCHER CÉLULAS RESTANTES",((((1+E14/100+E15/100+E16/100)*(1+E17/100)*(1+E18/100))/(1-((E19+E20+E21*$B$9+E22)/100))-1)*100)),"")</f>
      </c>
      <c r="F23" s="394"/>
      <c r="G23" s="413">
        <f>COUNTIF(F8:F22,"OK")</f>
        <v>12</v>
      </c>
      <c r="I23" s="414"/>
      <c r="J23" s="394"/>
      <c r="K23" s="394"/>
    </row>
    <row r="24" spans="1:11" s="392" customFormat="1" ht="48.75" customHeight="1" thickBot="1">
      <c r="A24" s="410" t="s">
        <v>669</v>
      </c>
      <c r="B24" s="411">
        <f>IF(B8&lt;&gt;"",VLOOKUP($B$8,'[1]Base dados - TCU 2622_2013'!$A$7:$Y$14,23,),"")</f>
        <v>20.34</v>
      </c>
      <c r="C24" s="411">
        <f>IF(B8&lt;&gt;"",VLOOKUP($B$8,'[1]Base dados - TCU 2622_2013'!$A$7:$Y$14,24,),"")</f>
        <v>22.12</v>
      </c>
      <c r="D24" s="411">
        <f>IF(B8&lt;&gt;"",VLOOKUP($B$8,'[1]Base dados - TCU 2622_2013'!$A$7:$Y$14,25,),"")</f>
        <v>25</v>
      </c>
      <c r="E24" s="412">
        <f>IF(B10="NÃO",IF(G23&lt;12,"PREENCHER CÉLULAS RESTANTES",((((1+E14/100+E15/100+E16/100)*(1+E17/100)*(1+E18/100))/(1-((E19+E20+E21*$B$9)/100))-1)*100)),"")</f>
        <v>22.77</v>
      </c>
      <c r="F24" s="412"/>
      <c r="G24" s="415"/>
      <c r="H24" s="415"/>
      <c r="I24" s="416"/>
      <c r="J24" s="391"/>
      <c r="K24" s="391"/>
    </row>
    <row r="25" spans="1:11" s="392" customFormat="1" ht="16.5" thickBot="1">
      <c r="A25" s="417" t="s">
        <v>670</v>
      </c>
      <c r="F25" s="391"/>
      <c r="H25" s="416"/>
      <c r="I25" s="416"/>
      <c r="J25" s="391"/>
      <c r="K25" s="391"/>
    </row>
    <row r="26" spans="1:11" s="392" customFormat="1" ht="15.75" customHeight="1" thickBot="1">
      <c r="A26" s="417" t="s">
        <v>671</v>
      </c>
      <c r="D26" s="418" t="s">
        <v>672</v>
      </c>
      <c r="E26" s="419" t="str">
        <f>IF(B10="NÃO",(IF(E24&gt;D24,"INADEQUADO",IF(E24&lt;B24,"INADEQUADO","OK"))),IF(B10="SIM",(IF(E23&gt;D23,"INADEQUADO",IF(E23&lt;B23,"INADEQUADO","OK"))),""))</f>
        <v>OK</v>
      </c>
      <c r="F26" s="420" t="s">
        <v>673</v>
      </c>
      <c r="G26" s="416"/>
      <c r="H26" s="416"/>
      <c r="I26" s="416"/>
      <c r="J26" s="391"/>
      <c r="K26" s="391"/>
    </row>
    <row r="27" spans="4:13" ht="12.75">
      <c r="D27" s="421">
        <f>IF(B10="SIM","BDI s/ desoneração:","")</f>
      </c>
      <c r="E27" s="422">
        <f>IF(B10="SIM",((((1+E14/100+E15/100+E16/100)*(1+E17/100)*(1+E18/100))/(1-((E19+E20+E21*$B$9)/100))-1)*100),"")</f>
      </c>
      <c r="F27" s="420" t="s">
        <v>674</v>
      </c>
      <c r="G27" s="414"/>
      <c r="I27" s="413">
        <f>VLOOKUP($B$8,'[1]Base dados - TCU 2622_2013'!$A$7:$Y$14,23,)</f>
        <v>20.34</v>
      </c>
      <c r="J27" s="413"/>
      <c r="K27" s="413"/>
      <c r="L27" s="413">
        <f>((1+M27/100)*(((0.045/(0.9185-$E$21/100*$B$9))+1))-1)*100</f>
        <v>31.3667232597623</v>
      </c>
      <c r="M27" s="413">
        <f>VLOOKUP($B$8,'[1]Base dados - TCU 2622_2013'!$A$7:$Y$14,25,)</f>
        <v>25</v>
      </c>
    </row>
    <row r="28" spans="1:13" ht="15.75">
      <c r="A28" s="476" t="s">
        <v>675</v>
      </c>
      <c r="B28" s="476"/>
      <c r="C28" s="476"/>
      <c r="D28" s="476"/>
      <c r="E28" s="423">
        <f>((1+I27/100)*(((0.045/(0.9185-$E$21/100*$B$9))+1))-1)*100</f>
        <v>26.4693718166384</v>
      </c>
      <c r="F28" s="416"/>
      <c r="G28" s="394"/>
      <c r="I28" s="413"/>
      <c r="J28" s="413">
        <f>((1+K27/100)*(0.9635-$E$21*$B$9/100)/(0.9435-$E$22*$B$9/100)-1)*100</f>
        <v>-1.58982511923689</v>
      </c>
      <c r="K28" s="413"/>
      <c r="L28" s="413">
        <f>((1+M27/100)*(0.9635-$E$21*$B$9/100)/(0.9435-$E$22*$B$9/100)-1)*100</f>
        <v>23.0127186009539</v>
      </c>
      <c r="M28" s="413"/>
    </row>
    <row r="29" spans="5:12" ht="12.75">
      <c r="E29" s="423">
        <f>((1+I27/100)*(0.9635-$E$21*$B$9/100)/(0.9185-$E$22*$B$9/100)-1)*100</f>
        <v>21.6501796407186</v>
      </c>
      <c r="F29" s="416"/>
      <c r="G29" s="394"/>
      <c r="H29" s="394"/>
      <c r="I29" s="394"/>
      <c r="J29" s="394"/>
      <c r="K29" s="394"/>
      <c r="L29" s="394"/>
    </row>
    <row r="30" ht="12.75">
      <c r="F30" s="394"/>
    </row>
    <row r="31" ht="12.75">
      <c r="F31" s="394"/>
    </row>
    <row r="32" ht="12.75">
      <c r="F32" s="394"/>
    </row>
    <row r="33" spans="1:11" ht="15">
      <c r="A33" s="424" t="s">
        <v>676</v>
      </c>
      <c r="F33" s="394"/>
      <c r="G33" s="394"/>
      <c r="H33" s="394"/>
      <c r="I33" s="394"/>
      <c r="J33" s="394"/>
      <c r="K33" s="394"/>
    </row>
    <row r="34" spans="1:11" ht="15">
      <c r="A34" s="481" t="s">
        <v>677</v>
      </c>
      <c r="B34" s="481"/>
      <c r="C34" s="481"/>
      <c r="D34" s="481"/>
      <c r="F34" s="394"/>
      <c r="G34" s="394"/>
      <c r="H34" s="394"/>
      <c r="I34" s="394"/>
      <c r="J34" s="394"/>
      <c r="K34" s="394"/>
    </row>
    <row r="35" spans="1:11" ht="15">
      <c r="A35" s="481" t="s">
        <v>678</v>
      </c>
      <c r="B35" s="481"/>
      <c r="C35" s="481"/>
      <c r="D35" s="481"/>
      <c r="F35" s="394"/>
      <c r="G35" s="394"/>
      <c r="H35" s="394"/>
      <c r="I35" s="394"/>
      <c r="J35" s="394"/>
      <c r="K35" s="394"/>
    </row>
    <row r="36" spans="1:11" ht="15">
      <c r="A36" s="481" t="s">
        <v>679</v>
      </c>
      <c r="B36" s="481"/>
      <c r="C36" s="481"/>
      <c r="D36" s="481"/>
      <c r="F36" s="394"/>
      <c r="G36" s="394"/>
      <c r="H36" s="394"/>
      <c r="I36" s="394"/>
      <c r="J36" s="394"/>
      <c r="K36" s="394"/>
    </row>
    <row r="37" spans="1:11" ht="15">
      <c r="A37" s="481" t="s">
        <v>680</v>
      </c>
      <c r="B37" s="481"/>
      <c r="C37" s="481"/>
      <c r="D37" s="481"/>
      <c r="E37" s="481"/>
      <c r="F37" s="394"/>
      <c r="H37" s="394"/>
      <c r="I37" s="394"/>
      <c r="J37" s="394"/>
      <c r="K37" s="394"/>
    </row>
    <row r="38" spans="1:11" ht="15">
      <c r="A38" s="481" t="s">
        <v>681</v>
      </c>
      <c r="B38" s="481"/>
      <c r="C38" s="481"/>
      <c r="D38" s="481"/>
      <c r="F38" s="394"/>
      <c r="G38" s="394"/>
      <c r="H38" s="394"/>
      <c r="I38" s="394"/>
      <c r="J38" s="394"/>
      <c r="K38" s="394"/>
    </row>
    <row r="39" spans="1:11" ht="15">
      <c r="A39" s="425"/>
      <c r="B39" s="425"/>
      <c r="C39" s="425"/>
      <c r="D39" s="425"/>
      <c r="F39" s="394"/>
      <c r="G39" s="394"/>
      <c r="H39" s="394"/>
      <c r="I39" s="394"/>
      <c r="J39" s="394"/>
      <c r="K39" s="394"/>
    </row>
    <row r="40" spans="1:11" ht="68.25" customHeight="1">
      <c r="A40" s="482" t="str">
        <f>CONCATENATE("Declaro para os devidos fins que, conforme legislação tributária municipal, a base de cálculo do ISS para ",B8," é de ",B9*100,"%, com a respectiva alíquota de ",E21,"%. Declaramos ainda que adotamos orçamento ",IF(B10="SIM","Com Desoneração",IF(B10="NÃO","Sem Desoneração",""))," e que esta é a alternativa mais adequada para a Administração Pública.")</f>
        <v>Declaro para os devidos fins que, conforme legislação tributária municipal, a base de cálculo do ISS para Construção de Edifícios e Reformas (Quadras, unidades habitacionais, escolas, restaurantes, etc) é de 100%, com a respectiva alíquota de 3,5%. Declaramos ainda que adotamos orçamento Sem Desoneração e que esta é a alternativa mais adequada para a Administração Pública.</v>
      </c>
      <c r="B40" s="483"/>
      <c r="C40" s="483"/>
      <c r="D40" s="483"/>
      <c r="E40" s="484"/>
      <c r="F40" s="394"/>
      <c r="G40" s="394"/>
      <c r="H40" s="394"/>
      <c r="I40" s="394"/>
      <c r="J40" s="394"/>
      <c r="K40" s="394"/>
    </row>
    <row r="41" spans="1:11" ht="15">
      <c r="A41" s="425"/>
      <c r="B41" s="425"/>
      <c r="C41" s="425"/>
      <c r="D41" s="425"/>
      <c r="F41" s="394"/>
      <c r="G41" s="394"/>
      <c r="H41" s="394"/>
      <c r="I41" s="394"/>
      <c r="J41" s="394"/>
      <c r="K41" s="394"/>
    </row>
    <row r="42" spans="1:11" ht="15">
      <c r="A42" s="426"/>
      <c r="B42" s="425"/>
      <c r="C42" s="425"/>
      <c r="D42" s="425"/>
      <c r="F42" s="394"/>
      <c r="G42" s="394"/>
      <c r="H42" s="394"/>
      <c r="I42" s="394"/>
      <c r="J42" s="394"/>
      <c r="K42" s="394"/>
    </row>
    <row r="43" spans="1:11" ht="15">
      <c r="A43" s="425"/>
      <c r="B43" s="425"/>
      <c r="C43" s="425"/>
      <c r="D43" s="425"/>
      <c r="F43" s="394"/>
      <c r="G43" s="394"/>
      <c r="H43" s="394"/>
      <c r="I43" s="394"/>
      <c r="J43" s="394"/>
      <c r="K43" s="394"/>
    </row>
    <row r="44" spans="1:11" ht="15">
      <c r="A44" s="427"/>
      <c r="B44" s="425"/>
      <c r="C44" s="477"/>
      <c r="D44" s="477"/>
      <c r="E44" s="477"/>
      <c r="F44" s="394"/>
      <c r="G44" s="394"/>
      <c r="H44" s="394"/>
      <c r="I44" s="394"/>
      <c r="J44" s="394"/>
      <c r="K44" s="394"/>
    </row>
    <row r="45" spans="1:5" ht="12.75">
      <c r="A45" s="428"/>
      <c r="B45" s="428"/>
      <c r="C45" s="428"/>
      <c r="D45" s="428"/>
      <c r="E45" s="428"/>
    </row>
    <row r="46" spans="1:5" ht="25.5" customHeight="1">
      <c r="A46" s="478"/>
      <c r="B46" s="478"/>
      <c r="C46" s="478"/>
      <c r="D46" s="478"/>
      <c r="E46" s="478"/>
    </row>
    <row r="47" spans="1:5" ht="25.5" customHeight="1">
      <c r="A47" s="429"/>
      <c r="B47" s="429"/>
      <c r="C47" s="429"/>
      <c r="D47" s="429"/>
      <c r="E47" s="429"/>
    </row>
    <row r="48" spans="1:5" ht="25.5" customHeight="1">
      <c r="A48" s="478"/>
      <c r="B48" s="478"/>
      <c r="C48" s="478"/>
      <c r="D48" s="478"/>
      <c r="E48" s="478"/>
    </row>
    <row r="49" spans="1:5" s="431" customFormat="1" ht="12.75">
      <c r="A49" s="430"/>
      <c r="B49" s="430"/>
      <c r="C49" s="430"/>
      <c r="D49" s="430"/>
      <c r="E49" s="430"/>
    </row>
    <row r="50" spans="1:5" s="433" customFormat="1" ht="15.75">
      <c r="A50" s="432"/>
      <c r="B50" s="430"/>
      <c r="C50" s="430"/>
      <c r="D50" s="430"/>
      <c r="E50" s="430"/>
    </row>
    <row r="51" spans="1:5" s="435" customFormat="1" ht="8.25">
      <c r="A51" s="434"/>
      <c r="B51" s="434"/>
      <c r="C51" s="434"/>
      <c r="D51" s="434"/>
      <c r="E51" s="434"/>
    </row>
    <row r="52" spans="1:5" s="433" customFormat="1" ht="16.5" customHeight="1">
      <c r="A52" s="479"/>
      <c r="B52" s="479"/>
      <c r="C52" s="479"/>
      <c r="D52" s="479"/>
      <c r="E52" s="436"/>
    </row>
    <row r="53" spans="1:5" s="433" customFormat="1" ht="16.5" customHeight="1">
      <c r="A53" s="479"/>
      <c r="B53" s="480"/>
      <c r="C53" s="480"/>
      <c r="D53" s="480"/>
      <c r="E53" s="436"/>
    </row>
    <row r="54" spans="1:5" s="433" customFormat="1" ht="15.75">
      <c r="A54" s="479"/>
      <c r="B54" s="437"/>
      <c r="C54" s="437"/>
      <c r="D54" s="437"/>
      <c r="E54" s="436"/>
    </row>
    <row r="55" spans="1:4" s="433" customFormat="1" ht="15.75">
      <c r="A55" s="438"/>
      <c r="B55" s="439"/>
      <c r="C55" s="439"/>
      <c r="D55" s="439"/>
    </row>
    <row r="56" spans="1:4" s="433" customFormat="1" ht="15.75">
      <c r="A56" s="438"/>
      <c r="B56" s="439"/>
      <c r="C56" s="439"/>
      <c r="D56" s="439"/>
    </row>
    <row r="57" spans="1:4" s="433" customFormat="1" ht="15.75">
      <c r="A57" s="438"/>
      <c r="B57" s="439"/>
      <c r="C57" s="439"/>
      <c r="D57" s="439"/>
    </row>
    <row r="58" spans="1:4" s="433" customFormat="1" ht="15.75">
      <c r="A58" s="438"/>
      <c r="B58" s="439"/>
      <c r="C58" s="439"/>
      <c r="D58" s="439"/>
    </row>
    <row r="59" spans="1:4" s="433" customFormat="1" ht="15.75">
      <c r="A59" s="438"/>
      <c r="B59" s="439"/>
      <c r="C59" s="439"/>
      <c r="D59" s="439"/>
    </row>
    <row r="60" spans="1:4" s="433" customFormat="1" ht="15.75">
      <c r="A60" s="440"/>
      <c r="B60" s="441"/>
      <c r="C60" s="441"/>
      <c r="D60" s="441"/>
    </row>
    <row r="61" spans="1:4" s="433" customFormat="1" ht="15.75">
      <c r="A61" s="438"/>
      <c r="B61" s="439"/>
      <c r="C61" s="439"/>
      <c r="D61" s="439"/>
    </row>
    <row r="62" spans="1:4" s="433" customFormat="1" ht="15.75">
      <c r="A62" s="438"/>
      <c r="B62" s="439"/>
      <c r="C62" s="439"/>
      <c r="D62" s="439"/>
    </row>
    <row r="63" spans="1:4" s="433" customFormat="1" ht="15.75">
      <c r="A63" s="438"/>
      <c r="B63" s="439"/>
      <c r="C63" s="439"/>
      <c r="D63" s="439"/>
    </row>
    <row r="64" spans="1:4" s="433" customFormat="1" ht="15.75">
      <c r="A64" s="440"/>
      <c r="B64" s="441"/>
      <c r="C64" s="441"/>
      <c r="D64" s="441"/>
    </row>
    <row r="65" s="435" customFormat="1" ht="8.25"/>
    <row r="66" spans="1:4" s="433" customFormat="1" ht="15.75">
      <c r="A66" s="476"/>
      <c r="B66" s="476"/>
      <c r="C66" s="476"/>
      <c r="D66" s="476"/>
    </row>
    <row r="67" s="433" customFormat="1" ht="12.75"/>
    <row r="68" s="433" customFormat="1" ht="12.75"/>
    <row r="69" s="433" customFormat="1" ht="12.75"/>
    <row r="70" s="433" customFormat="1" ht="12.75"/>
    <row r="71" s="433" customFormat="1" ht="15">
      <c r="A71" s="442"/>
    </row>
    <row r="72" spans="1:4" s="433" customFormat="1" ht="15">
      <c r="A72" s="475"/>
      <c r="B72" s="475"/>
      <c r="C72" s="475"/>
      <c r="D72" s="475"/>
    </row>
    <row r="73" spans="1:4" s="433" customFormat="1" ht="15">
      <c r="A73" s="475"/>
      <c r="B73" s="475"/>
      <c r="C73" s="475"/>
      <c r="D73" s="475"/>
    </row>
    <row r="74" spans="1:4" s="433" customFormat="1" ht="15">
      <c r="A74" s="475"/>
      <c r="B74" s="475"/>
      <c r="C74" s="475"/>
      <c r="D74" s="475"/>
    </row>
    <row r="75" spans="1:4" s="433" customFormat="1" ht="15">
      <c r="A75" s="475"/>
      <c r="B75" s="475"/>
      <c r="C75" s="475"/>
      <c r="D75" s="475"/>
    </row>
    <row r="76" spans="1:4" s="433" customFormat="1" ht="15">
      <c r="A76" s="475"/>
      <c r="B76" s="475"/>
      <c r="C76" s="475"/>
      <c r="D76" s="475"/>
    </row>
    <row r="77" spans="1:4" s="433" customFormat="1" ht="15">
      <c r="A77" s="475"/>
      <c r="B77" s="475"/>
      <c r="C77" s="475"/>
      <c r="D77" s="475"/>
    </row>
    <row r="78" spans="1:4" s="433" customFormat="1" ht="15">
      <c r="A78" s="475"/>
      <c r="B78" s="475"/>
      <c r="C78" s="475"/>
      <c r="D78" s="475"/>
    </row>
    <row r="79" s="433" customFormat="1" ht="12.75"/>
    <row r="80" s="433" customFormat="1" ht="12.75"/>
    <row r="81" s="433" customFormat="1" ht="12.75"/>
    <row r="82" s="433" customFormat="1" ht="12.75"/>
    <row r="83" s="433" customFormat="1" ht="12.75"/>
    <row r="84" s="433" customFormat="1" ht="12.75"/>
    <row r="85" s="433" customFormat="1" ht="12.75"/>
    <row r="86" s="433" customFormat="1" ht="12.75"/>
    <row r="87" s="433" customFormat="1" ht="12.75"/>
    <row r="88" s="433" customFormat="1" ht="12.75"/>
    <row r="89" s="433" customFormat="1" ht="12.75"/>
    <row r="90" s="433" customFormat="1" ht="12.75"/>
    <row r="91" s="433" customFormat="1" ht="12.75"/>
    <row r="92" s="433" customFormat="1" ht="12.75"/>
    <row r="93" s="433" customFormat="1" ht="12.75"/>
    <row r="94" s="433" customFormat="1" ht="12.75"/>
    <row r="95" s="433" customFormat="1" ht="12.75"/>
    <row r="96" s="433" customFormat="1" ht="12.75"/>
    <row r="97" s="433" customFormat="1" ht="12.75"/>
    <row r="98" s="433" customFormat="1" ht="12.75"/>
    <row r="99" s="433" customFormat="1" ht="12.75"/>
    <row r="100" s="433" customFormat="1" ht="12.75"/>
    <row r="101" s="433" customFormat="1" ht="12.75"/>
    <row r="102" s="433" customFormat="1" ht="12.75"/>
    <row r="103" s="433" customFormat="1" ht="12.75"/>
    <row r="104" s="433" customFormat="1" ht="12.75"/>
    <row r="105" s="433" customFormat="1" ht="12.75"/>
    <row r="106" s="433" customFormat="1" ht="12.75"/>
    <row r="107" s="433" customFormat="1" ht="12.75"/>
    <row r="108" s="433" customFormat="1" ht="12.75"/>
    <row r="109" s="433" customFormat="1" ht="12.75"/>
    <row r="110" s="433" customFormat="1" ht="12.75"/>
    <row r="111" s="433" customFormat="1" ht="12.75"/>
    <row r="112" s="433" customFormat="1" ht="12.75"/>
    <row r="113" s="433" customFormat="1" ht="12.75"/>
    <row r="114" s="433" customFormat="1" ht="12.75"/>
    <row r="115" s="433" customFormat="1" ht="12.75"/>
    <row r="116" s="433" customFormat="1" ht="12.75"/>
    <row r="117" s="433" customFormat="1" ht="12.75"/>
    <row r="118" s="433" customFormat="1" ht="12.75"/>
    <row r="119" s="433" customFormat="1" ht="12.75"/>
    <row r="120" s="433" customFormat="1" ht="12.75"/>
    <row r="121" s="433" customFormat="1" ht="12.75"/>
    <row r="122" s="433" customFormat="1" ht="12.75"/>
    <row r="123" s="433" customFormat="1" ht="12.75"/>
    <row r="124" s="433" customFormat="1" ht="12.75"/>
    <row r="125" s="433" customFormat="1" ht="12.75"/>
    <row r="126" s="433" customFormat="1" ht="12.75"/>
    <row r="127" s="433" customFormat="1" ht="12.75"/>
    <row r="128" s="433" customFormat="1" ht="12.75"/>
    <row r="129" s="433" customFormat="1" ht="12.75"/>
    <row r="130" s="433" customFormat="1" ht="12.75"/>
    <row r="131" s="433" customFormat="1" ht="12.75"/>
    <row r="132" s="433" customFormat="1" ht="12.75"/>
    <row r="133" s="433" customFormat="1" ht="12.75"/>
    <row r="134" s="433" customFormat="1" ht="12.75"/>
    <row r="135" s="433" customFormat="1" ht="12.75"/>
    <row r="136" s="433" customFormat="1" ht="12.75"/>
    <row r="137" s="433" customFormat="1" ht="12.75"/>
    <row r="138" s="433" customFormat="1" ht="12.75"/>
    <row r="139" s="433" customFormat="1" ht="12.75"/>
    <row r="140" s="433" customFormat="1" ht="12.75"/>
    <row r="141" s="433" customFormat="1" ht="12.75"/>
    <row r="142" s="433" customFormat="1" ht="12.75"/>
    <row r="143" s="433" customFormat="1" ht="12.75"/>
    <row r="144" s="433" customFormat="1" ht="12.75"/>
    <row r="145" s="433" customFormat="1" ht="12.75"/>
    <row r="146" s="433" customFormat="1" ht="12.75"/>
    <row r="147" s="433" customFormat="1" ht="12.75"/>
    <row r="148" s="433" customFormat="1" ht="12.75"/>
    <row r="149" s="433" customFormat="1" ht="12.75"/>
    <row r="150" s="433" customFormat="1" ht="12.75"/>
    <row r="151" s="433" customFormat="1" ht="12.75"/>
    <row r="152" s="433" customFormat="1" ht="12.75"/>
    <row r="153" s="433" customFormat="1" ht="12.75"/>
  </sheetData>
  <sheetProtection formatCells="0" formatColumns="0" formatRows="0" insertColumns="0" insertRows="0" insertHyperlinks="0" deleteColumns="0" deleteRows="0" selectLockedCells="1" sort="0" autoFilter="0" pivotTables="0"/>
  <mergeCells count="32">
    <mergeCell ref="A1:E1"/>
    <mergeCell ref="A3:E3"/>
    <mergeCell ref="B5:E5"/>
    <mergeCell ref="B6:E6"/>
    <mergeCell ref="B7:E7"/>
    <mergeCell ref="B8:E8"/>
    <mergeCell ref="B9:E9"/>
    <mergeCell ref="B10:E10"/>
    <mergeCell ref="A12:A13"/>
    <mergeCell ref="B12:D12"/>
    <mergeCell ref="E12:E13"/>
    <mergeCell ref="A28:D28"/>
    <mergeCell ref="A34:D34"/>
    <mergeCell ref="A35:D35"/>
    <mergeCell ref="A36:D36"/>
    <mergeCell ref="A37:E37"/>
    <mergeCell ref="A38:D38"/>
    <mergeCell ref="A40:E40"/>
    <mergeCell ref="C44:E44"/>
    <mergeCell ref="A46:E46"/>
    <mergeCell ref="A48:E48"/>
    <mergeCell ref="A52:D52"/>
    <mergeCell ref="A53:A54"/>
    <mergeCell ref="B53:D53"/>
    <mergeCell ref="A77:D77"/>
    <mergeCell ref="A78:D78"/>
    <mergeCell ref="A66:D66"/>
    <mergeCell ref="A72:D72"/>
    <mergeCell ref="A73:D73"/>
    <mergeCell ref="A74:D74"/>
    <mergeCell ref="A75:D75"/>
    <mergeCell ref="A76:D76"/>
  </mergeCells>
  <conditionalFormatting sqref="E26">
    <cfRule type="cellIs" priority="1" dxfId="1" operator="equal" stopIfTrue="1">
      <formula>"INADEQUADO"</formula>
    </cfRule>
    <cfRule type="cellIs" priority="2" dxfId="0" operator="equal" stopIfTrue="1">
      <formula>"OK"</formula>
    </cfRule>
  </conditionalFormatting>
  <dataValidations count="4">
    <dataValidation type="decimal" allowBlank="1" showInputMessage="1" showErrorMessage="1" errorTitle="ERRO" error="O VALOR ESTÁ FORA DOS LIMITES ESTABELECIDOS PELO TCU ACÓRDÃO 2622/2013 !" sqref="E14:E21">
      <formula1>B14</formula1>
      <formula2>D14</formula2>
    </dataValidation>
    <dataValidation type="decimal" allowBlank="1" showInputMessage="1" showErrorMessage="1" promptTitle="COMO PREENCHER:" prompt="- SE ONERADO: 0%&#10;&#10;- SE DESONERADO: ALÍQUOTA DE 4,5% DA RECEITA BRUTA" errorTitle="ERRO" error="- SE ONERADO = 0%&#10;&#10;- SE DESONERADO = ALÍQUOTA DE 4,5% DA RECEITA BRUTA" sqref="E22">
      <formula1>B22</formula1>
      <formula2>D22</formula2>
    </dataValidation>
    <dataValidation errorStyle="warning" allowBlank="1" showInputMessage="1" showErrorMessage="1" promptTitle="NOTE:" prompt="&lt;=== ADEQUAR PARA OS LIMITES DO BDI ESTABELECIDOS CONFORME TCU ACÓRDÃO 2622/2013 !" sqref="E26"/>
    <dataValidation type="decimal" allowBlank="1" showInputMessage="1" showErrorMessage="1" promptTitle="COMO PREENCHER:" prompt="- DE 0% A 100% CONFORME APLICADO PELA PREFEITURA NA NOTA PARA MÃO DE OBRA!" errorTitle="ERRO" error="Digite a % da Nota em que se incide o ISS" sqref="B9:E9">
      <formula1>0</formula1>
      <formula2>1</formula2>
    </dataValidation>
  </dataValidations>
  <printOptions horizontalCentered="1"/>
  <pageMargins left="1.1811023622047245" right="0.7874015748031497" top="1.1811023622047245" bottom="0.7874015748031497" header="0.5118110236220472" footer="0.5118110236220472"/>
  <pageSetup fitToHeight="1" fitToWidth="1" horizontalDpi="600" verticalDpi="600" orientation="portrait" paperSize="9" scale="80" r:id="rId2"/>
  <headerFooter alignWithMargins="0"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metroquattro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Eduardo Miranda Lopes</cp:lastModifiedBy>
  <cp:lastPrinted>2020-08-17T14:10:31Z</cp:lastPrinted>
  <dcterms:created xsi:type="dcterms:W3CDTF">2002-03-18T18:34:43Z</dcterms:created>
  <dcterms:modified xsi:type="dcterms:W3CDTF">2020-10-26T17:49:39Z</dcterms:modified>
  <cp:category/>
  <cp:version/>
  <cp:contentType/>
  <cp:contentStatus/>
</cp:coreProperties>
</file>